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330"/>
  </bookViews>
  <sheets>
    <sheet name="Quantity Tracker Summar" sheetId="6" r:id="rId1"/>
    <sheet name="Quantity Tracker Details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7" l="1"/>
  <c r="AA28" i="7" s="1"/>
  <c r="H27" i="7"/>
  <c r="AA27" i="7" s="1"/>
  <c r="H26" i="7"/>
  <c r="N26" i="7" s="1"/>
  <c r="H25" i="7"/>
  <c r="AA25" i="7" s="1"/>
  <c r="H24" i="7"/>
  <c r="N24" i="7" s="1"/>
  <c r="T24" i="7" s="1"/>
  <c r="H23" i="7"/>
  <c r="N23" i="7" s="1"/>
  <c r="H22" i="7"/>
  <c r="N22" i="7" s="1"/>
  <c r="T22" i="7" s="1"/>
  <c r="H21" i="7"/>
  <c r="AA21" i="7" s="1"/>
  <c r="H20" i="7"/>
  <c r="H19" i="7"/>
  <c r="H18" i="7"/>
  <c r="H17" i="7"/>
  <c r="H16" i="7"/>
  <c r="H15" i="7"/>
  <c r="H14" i="7"/>
  <c r="Z25" i="7"/>
  <c r="Y25" i="7"/>
  <c r="X25" i="7"/>
  <c r="U25" i="7"/>
  <c r="M25" i="7"/>
  <c r="S25" i="7" s="1"/>
  <c r="Z27" i="7"/>
  <c r="Y27" i="7"/>
  <c r="X27" i="7"/>
  <c r="U27" i="7"/>
  <c r="N27" i="7"/>
  <c r="M27" i="7"/>
  <c r="S27" i="7" s="1"/>
  <c r="AA26" i="7"/>
  <c r="Z26" i="7"/>
  <c r="Y26" i="7"/>
  <c r="X26" i="7"/>
  <c r="U26" i="7"/>
  <c r="M26" i="7"/>
  <c r="W26" i="7" s="1"/>
  <c r="Z24" i="7"/>
  <c r="Y24" i="7"/>
  <c r="X24" i="7"/>
  <c r="U24" i="7"/>
  <c r="M24" i="7"/>
  <c r="S24" i="7" s="1"/>
  <c r="AA23" i="7"/>
  <c r="Z23" i="7"/>
  <c r="Y23" i="7"/>
  <c r="X23" i="7"/>
  <c r="M23" i="7"/>
  <c r="Z22" i="7"/>
  <c r="Y22" i="7"/>
  <c r="X22" i="7"/>
  <c r="U22" i="7"/>
  <c r="M22" i="7"/>
  <c r="W22" i="7" s="1"/>
  <c r="Z21" i="7"/>
  <c r="Y21" i="7"/>
  <c r="X21" i="7"/>
  <c r="M21" i="7"/>
  <c r="S21" i="7" s="1"/>
  <c r="M28" i="7"/>
  <c r="Q28" i="7" s="1"/>
  <c r="N28" i="7"/>
  <c r="U28" i="7"/>
  <c r="X28" i="7"/>
  <c r="Y28" i="7"/>
  <c r="Z28" i="7"/>
  <c r="AA22" i="7" l="1"/>
  <c r="P22" i="7"/>
  <c r="P26" i="7"/>
  <c r="R26" i="7" s="1"/>
  <c r="N21" i="7"/>
  <c r="T21" i="7" s="1"/>
  <c r="W21" i="7"/>
  <c r="P21" i="7" s="1"/>
  <c r="AA24" i="7"/>
  <c r="N25" i="7"/>
  <c r="T25" i="7" s="1"/>
  <c r="S22" i="7"/>
  <c r="S23" i="7"/>
  <c r="Q24" i="7"/>
  <c r="W28" i="7"/>
  <c r="P28" i="7" s="1"/>
  <c r="R28" i="7" s="1"/>
  <c r="V28" i="7"/>
  <c r="Q26" i="7"/>
  <c r="V24" i="7"/>
  <c r="T26" i="7"/>
  <c r="T27" i="7"/>
  <c r="V25" i="7"/>
  <c r="W25" i="7"/>
  <c r="Q25" i="7"/>
  <c r="V21" i="7"/>
  <c r="O21" i="7" s="1"/>
  <c r="U21" i="7" s="1"/>
  <c r="Q22" i="7"/>
  <c r="T23" i="7"/>
  <c r="W24" i="7"/>
  <c r="P24" i="7" s="1"/>
  <c r="R24" i="7" s="1"/>
  <c r="R22" i="7"/>
  <c r="S26" i="7"/>
  <c r="V27" i="7"/>
  <c r="V23" i="7"/>
  <c r="O23" i="7" s="1"/>
  <c r="U23" i="7" s="1"/>
  <c r="W27" i="7"/>
  <c r="P27" i="7" s="1"/>
  <c r="R27" i="7" s="1"/>
  <c r="W23" i="7"/>
  <c r="P23" i="7" s="1"/>
  <c r="R23" i="7" s="1"/>
  <c r="V26" i="7"/>
  <c r="Q27" i="7"/>
  <c r="V22" i="7"/>
  <c r="T28" i="7"/>
  <c r="S28" i="7"/>
  <c r="AA20" i="7"/>
  <c r="Y20" i="7"/>
  <c r="X20" i="7"/>
  <c r="N20" i="7"/>
  <c r="M20" i="7"/>
  <c r="S20" i="7" s="1"/>
  <c r="Z20" i="7"/>
  <c r="AA19" i="7"/>
  <c r="Y19" i="7"/>
  <c r="X19" i="7"/>
  <c r="AA18" i="7"/>
  <c r="Y18" i="7"/>
  <c r="X18" i="7"/>
  <c r="U18" i="7"/>
  <c r="N18" i="7"/>
  <c r="T18" i="7" s="1"/>
  <c r="M18" i="7"/>
  <c r="S18" i="7" s="1"/>
  <c r="Z18" i="7"/>
  <c r="AA17" i="7"/>
  <c r="Y17" i="7"/>
  <c r="X17" i="7"/>
  <c r="N17" i="7"/>
  <c r="T17" i="7" s="1"/>
  <c r="M17" i="7"/>
  <c r="S17" i="7" s="1"/>
  <c r="Z17" i="7"/>
  <c r="AA16" i="7"/>
  <c r="Y16" i="7"/>
  <c r="X16" i="7"/>
  <c r="N16" i="7"/>
  <c r="T16" i="7" s="1"/>
  <c r="M16" i="7"/>
  <c r="S16" i="7" s="1"/>
  <c r="Z16" i="7"/>
  <c r="AA15" i="7"/>
  <c r="Y15" i="7"/>
  <c r="X15" i="7"/>
  <c r="N15" i="7"/>
  <c r="T15" i="7" s="1"/>
  <c r="M15" i="7"/>
  <c r="S15" i="7" s="1"/>
  <c r="Z15" i="7"/>
  <c r="AA14" i="7"/>
  <c r="Y14" i="7"/>
  <c r="X14" i="7"/>
  <c r="N14" i="7"/>
  <c r="T14" i="7" s="1"/>
  <c r="M14" i="7"/>
  <c r="S14" i="7" s="1"/>
  <c r="Z14" i="7"/>
  <c r="Q21" i="7" l="1"/>
  <c r="P25" i="7"/>
  <c r="Q23" i="7"/>
  <c r="R21" i="7"/>
  <c r="R25" i="7"/>
  <c r="V15" i="7"/>
  <c r="O15" i="7" s="1"/>
  <c r="U15" i="7" s="1"/>
  <c r="V16" i="7"/>
  <c r="O16" i="7" s="1"/>
  <c r="U16" i="7" s="1"/>
  <c r="V17" i="7"/>
  <c r="O17" i="7" s="1"/>
  <c r="U17" i="7" s="1"/>
  <c r="V18" i="7"/>
  <c r="T20" i="7"/>
  <c r="V14" i="7"/>
  <c r="W15" i="7"/>
  <c r="P15" i="7" s="1"/>
  <c r="W16" i="7"/>
  <c r="P16" i="7" s="1"/>
  <c r="R16" i="7" s="1"/>
  <c r="W17" i="7"/>
  <c r="P17" i="7" s="1"/>
  <c r="R17" i="7" s="1"/>
  <c r="W18" i="7"/>
  <c r="P18" i="7" s="1"/>
  <c r="R18" i="7" s="1"/>
  <c r="M19" i="7"/>
  <c r="N19" i="7"/>
  <c r="V20" i="7"/>
  <c r="Q14" i="7"/>
  <c r="Q18" i="7"/>
  <c r="U20" i="7"/>
  <c r="W20" i="7"/>
  <c r="P20" i="7" s="1"/>
  <c r="R20" i="7" s="1"/>
  <c r="W14" i="7"/>
  <c r="P14" i="7" s="1"/>
  <c r="R14" i="7" s="1"/>
  <c r="R15" i="7"/>
  <c r="AA21" i="6"/>
  <c r="Y21" i="6"/>
  <c r="X21" i="6"/>
  <c r="AA20" i="6"/>
  <c r="Y20" i="6"/>
  <c r="X20" i="6"/>
  <c r="AA19" i="6"/>
  <c r="AA18" i="6"/>
  <c r="Y18" i="6"/>
  <c r="X18" i="6"/>
  <c r="AA17" i="6"/>
  <c r="Y17" i="6"/>
  <c r="X17" i="6"/>
  <c r="AA16" i="6"/>
  <c r="Y16" i="6"/>
  <c r="X16" i="6"/>
  <c r="AA15" i="6"/>
  <c r="Y15" i="6"/>
  <c r="X15" i="6"/>
  <c r="AA14" i="6"/>
  <c r="Y14" i="6"/>
  <c r="X14" i="6"/>
  <c r="U15" i="6"/>
  <c r="K21" i="6"/>
  <c r="Z21" i="6" s="1"/>
  <c r="K18" i="6"/>
  <c r="O18" i="6" s="1"/>
  <c r="U18" i="6" s="1"/>
  <c r="K17" i="6"/>
  <c r="Z17" i="6" s="1"/>
  <c r="K16" i="6"/>
  <c r="Z16" i="6" s="1"/>
  <c r="K15" i="6"/>
  <c r="K14" i="6"/>
  <c r="Z14" i="6" s="1"/>
  <c r="N21" i="6"/>
  <c r="T21" i="6" s="1"/>
  <c r="M21" i="6"/>
  <c r="W21" i="6" s="1"/>
  <c r="N20" i="6"/>
  <c r="T20" i="6" s="1"/>
  <c r="M20" i="6"/>
  <c r="N18" i="6"/>
  <c r="T18" i="6" s="1"/>
  <c r="M18" i="6"/>
  <c r="V18" i="6" s="1"/>
  <c r="N17" i="6"/>
  <c r="M17" i="6"/>
  <c r="W17" i="6" s="1"/>
  <c r="N16" i="6"/>
  <c r="M16" i="6"/>
  <c r="W16" i="6" s="1"/>
  <c r="N15" i="6"/>
  <c r="M15" i="6"/>
  <c r="W15" i="6" s="1"/>
  <c r="N14" i="6"/>
  <c r="M14" i="6"/>
  <c r="P21" i="6"/>
  <c r="P20" i="6"/>
  <c r="P18" i="6"/>
  <c r="P19" i="6"/>
  <c r="P16" i="6"/>
  <c r="K20" i="6"/>
  <c r="O20" i="6" s="1"/>
  <c r="U20" i="6" s="1"/>
  <c r="J19" i="6"/>
  <c r="M19" i="6" s="1"/>
  <c r="I19" i="6"/>
  <c r="X19" i="6" s="1"/>
  <c r="R16" i="6" l="1"/>
  <c r="Q15" i="6"/>
  <c r="Q16" i="7"/>
  <c r="Q15" i="7"/>
  <c r="Q17" i="7"/>
  <c r="Q20" i="7"/>
  <c r="Q19" i="7"/>
  <c r="W19" i="7"/>
  <c r="P19" i="7" s="1"/>
  <c r="R19" i="7" s="1"/>
  <c r="V19" i="7"/>
  <c r="S19" i="7"/>
  <c r="U14" i="7"/>
  <c r="Z19" i="7"/>
  <c r="U19" i="7"/>
  <c r="T19" i="7"/>
  <c r="Q20" i="6"/>
  <c r="Z20" i="6"/>
  <c r="W18" i="6"/>
  <c r="V21" i="6"/>
  <c r="O16" i="6"/>
  <c r="U16" i="6" s="1"/>
  <c r="N19" i="6"/>
  <c r="R19" i="6" s="1"/>
  <c r="Z18" i="6"/>
  <c r="J22" i="6"/>
  <c r="S20" i="6"/>
  <c r="K19" i="6"/>
  <c r="R20" i="6"/>
  <c r="Y19" i="6"/>
  <c r="V19" i="6"/>
  <c r="W19" i="6"/>
  <c r="M22" i="6"/>
  <c r="S16" i="6"/>
  <c r="V14" i="6"/>
  <c r="S18" i="6"/>
  <c r="W14" i="6"/>
  <c r="V17" i="6"/>
  <c r="I22" i="6"/>
  <c r="V20" i="6"/>
  <c r="T17" i="6"/>
  <c r="V15" i="6"/>
  <c r="W20" i="6"/>
  <c r="S17" i="6"/>
  <c r="Q18" i="6"/>
  <c r="V16" i="6"/>
  <c r="Z15" i="6"/>
  <c r="R18" i="6"/>
  <c r="S14" i="6"/>
  <c r="S21" i="6"/>
  <c r="O21" i="6"/>
  <c r="O17" i="6"/>
  <c r="P17" i="6"/>
  <c r="R17" i="6" s="1"/>
  <c r="T16" i="6"/>
  <c r="S15" i="6"/>
  <c r="O14" i="6"/>
  <c r="R21" i="6"/>
  <c r="K22" i="6"/>
  <c r="V22" i="6" l="1"/>
  <c r="T19" i="6"/>
  <c r="N22" i="6"/>
  <c r="Q16" i="6"/>
  <c r="Z19" i="6"/>
  <c r="O19" i="6"/>
  <c r="O22" i="6" s="1"/>
  <c r="S22" i="6"/>
  <c r="W22" i="6"/>
  <c r="S19" i="6"/>
  <c r="Q21" i="6"/>
  <c r="U21" i="6"/>
  <c r="Q17" i="6"/>
  <c r="U17" i="6"/>
  <c r="P15" i="6"/>
  <c r="R15" i="6" s="1"/>
  <c r="T15" i="6"/>
  <c r="U14" i="6"/>
  <c r="Q14" i="6"/>
  <c r="T14" i="6"/>
  <c r="L22" i="6"/>
  <c r="T22" i="6" s="1"/>
  <c r="P14" i="6"/>
  <c r="U19" i="6" l="1"/>
  <c r="Q19" i="6"/>
  <c r="Q22" i="6"/>
  <c r="U22" i="6"/>
  <c r="R14" i="6"/>
  <c r="P22" i="6"/>
  <c r="R22" i="6" s="1"/>
</calcChain>
</file>

<file path=xl/sharedStrings.xml><?xml version="1.0" encoding="utf-8"?>
<sst xmlns="http://schemas.openxmlformats.org/spreadsheetml/2006/main" count="202" uniqueCount="94">
  <si>
    <t>M2</t>
  </si>
  <si>
    <t>M3</t>
  </si>
  <si>
    <t>MT</t>
  </si>
  <si>
    <t>LM</t>
  </si>
  <si>
    <t>EA</t>
  </si>
  <si>
    <t>M3##</t>
  </si>
  <si>
    <t>100.100.100</t>
  </si>
  <si>
    <t>100.100.200</t>
  </si>
  <si>
    <t>100.100.300</t>
  </si>
  <si>
    <t>100.100.400</t>
  </si>
  <si>
    <t>100.100.500</t>
  </si>
  <si>
    <t>100.100.600</t>
  </si>
  <si>
    <t>رقم المشروع: ____________________________________</t>
  </si>
  <si>
    <t>وصف المشروع: ______________________________</t>
  </si>
  <si>
    <t>موقع المشروع:  ________________________________</t>
  </si>
  <si>
    <t>الجهة العامة:  ________________________________________</t>
  </si>
  <si>
    <t>المقاول:  ____________________________________</t>
  </si>
  <si>
    <t>تفاصيل متتبع الكميات</t>
  </si>
  <si>
    <t>تاريخ التقرير:  ________________</t>
  </si>
  <si>
    <t>نهاية الأسبوع: _______________</t>
  </si>
  <si>
    <t>الكميات</t>
  </si>
  <si>
    <t>ساعات العمل</t>
  </si>
  <si>
    <t>الأداء</t>
  </si>
  <si>
    <t>النسبة المئوية للإكمال</t>
  </si>
  <si>
    <t>الجدول الزمني</t>
  </si>
  <si>
    <t xml:space="preserve">المكتسبة  </t>
  </si>
  <si>
    <t>المسستغرقة</t>
  </si>
  <si>
    <t>(ساعات/وحدة) سعر الوحدة</t>
  </si>
  <si>
    <t>حساب التكلفة</t>
  </si>
  <si>
    <t>الوصف</t>
  </si>
  <si>
    <t>وحدة القياس</t>
  </si>
  <si>
    <t xml:space="preserve"> التنبؤ الحالي</t>
  </si>
  <si>
    <t>الميزانية الحالية</t>
  </si>
  <si>
    <t>حتي تاريخه</t>
  </si>
  <si>
    <t>هذه الفترة</t>
  </si>
  <si>
    <t>الجدول الزمني
(C.B.)</t>
  </si>
  <si>
    <t>الفعلي
(C.B.)</t>
  </si>
  <si>
    <t>الفعلي
(C.F.)</t>
  </si>
  <si>
    <t>مؤشر أداء الجدول الزمني</t>
  </si>
  <si>
    <t>أداء ساعات العمل</t>
  </si>
  <si>
    <t xml:space="preserve">ملاحظة: وحدة القياس مع ## هي سلعة رئيسية
</t>
  </si>
  <si>
    <t>الحفر الهيكلي - بالآلة واليد</t>
  </si>
  <si>
    <t>الردم بالآلة وبعض اليد</t>
  </si>
  <si>
    <t>حفر وردم الخنادق، الحفر</t>
  </si>
  <si>
    <t>حفر وردم الخنادق، الردم</t>
  </si>
  <si>
    <t>الركائز المحفورة، إزالة النفايات</t>
  </si>
  <si>
    <t>السياج، حلقة السلسلة</t>
  </si>
  <si>
    <t>السياج، البوابات</t>
  </si>
  <si>
    <t>دعامات الحراسة</t>
  </si>
  <si>
    <t>تسييج وطرق المناظر الطبيعية - التسييج</t>
  </si>
  <si>
    <t>الصرف والمجاري (الجاذبية فقط) فتحات المجاري ، وصهاريج الاحتجاز وغيرها</t>
  </si>
  <si>
    <t>ملخص متتبع الكميات</t>
  </si>
  <si>
    <t>رقم المشروع:  ____________________________________</t>
  </si>
  <si>
    <t>وصف المشروع:______________________________</t>
  </si>
  <si>
    <t>الجهة العامة: ________________________________________</t>
  </si>
  <si>
    <t>المقاول: ____________________________________</t>
  </si>
  <si>
    <t>الإجمالي</t>
  </si>
  <si>
    <t>موقع العمل</t>
  </si>
  <si>
    <t>الخرسانة</t>
  </si>
  <si>
    <t>الصلب</t>
  </si>
  <si>
    <t>المعماري</t>
  </si>
  <si>
    <t>الأنابيب</t>
  </si>
  <si>
    <t>الأجهزة</t>
  </si>
  <si>
    <t>الكهربائي</t>
  </si>
  <si>
    <t>المضخات والسائقين</t>
  </si>
  <si>
    <t>ملاحظات:</t>
  </si>
  <si>
    <t>الميزانية الحالية = الميزانية الأصلية + تغيير النطاق</t>
  </si>
  <si>
    <t>التنبؤ الحالي = الميزانية الأصلية + تغيير النطاق + الاتجاهات</t>
  </si>
  <si>
    <t>SPI = مؤشر أداء الجدول الزمني (الأداء الجيد =&gt; 1.0 الأداء السيء &lt;1.0)</t>
  </si>
  <si>
    <t>JHP = أداء ساعات العمل (يشير إليه آخرون بعامل الأداء) (الأداء الجيد =&gt; 1.0 الأداء السيء &lt;1.0)</t>
  </si>
  <si>
    <t>أ</t>
  </si>
  <si>
    <t xml:space="preserve">ب </t>
  </si>
  <si>
    <t>ج</t>
  </si>
  <si>
    <t>د</t>
  </si>
  <si>
    <t>ه</t>
  </si>
  <si>
    <t>و</t>
  </si>
  <si>
    <t>ز</t>
  </si>
  <si>
    <t>ح</t>
  </si>
  <si>
    <t>ط =ج/ب*و</t>
  </si>
  <si>
    <t>ي = د/ب*و</t>
  </si>
  <si>
    <t>ك</t>
  </si>
  <si>
    <t>ل</t>
  </si>
  <si>
    <t>م = ط/ك</t>
  </si>
  <si>
    <t>ن = ي/ل</t>
  </si>
  <si>
    <t>س = ط/ز</t>
  </si>
  <si>
    <t xml:space="preserve">ع = ي/ ح </t>
  </si>
  <si>
    <t>ف = ك / و</t>
  </si>
  <si>
    <t>ص = ط / و</t>
  </si>
  <si>
    <t>ق = ط/ هـ</t>
  </si>
  <si>
    <t>ر= هـ/أ</t>
  </si>
  <si>
    <t xml:space="preserve">ش = و/ب </t>
  </si>
  <si>
    <t>ت = ز/ج</t>
  </si>
  <si>
    <t xml:space="preserve">ث = ح / د </t>
  </si>
  <si>
    <t>النسبة المئوية للإكتمال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</si>
</sst>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5"/>
      <color rgb="FF000000"/>
      <name val="Arial"/>
      <family val="2"/>
    </font>
    <font>
      <sz val="5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5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center" readingOrder="2"/>
    </xf>
    <xf numFmtId="0" fontId="2" fillId="0" borderId="0" xfId="0" applyFont="1" applyBorder="1" applyAlignment="1">
      <alignment horizontal="center" readingOrder="2"/>
    </xf>
    <xf numFmtId="0" fontId="2" fillId="0" borderId="10" xfId="0" applyFont="1" applyBorder="1" applyAlignment="1">
      <alignment horizontal="center" readingOrder="2"/>
    </xf>
    <xf numFmtId="0" fontId="3" fillId="0" borderId="9" xfId="0" applyFont="1" applyBorder="1" applyAlignment="1">
      <alignment horizontal="left" vertical="center" readingOrder="2"/>
    </xf>
    <xf numFmtId="0" fontId="3" fillId="0" borderId="0" xfId="0" applyFont="1" applyBorder="1" applyAlignment="1">
      <alignment horizontal="left" vertical="center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 readingOrder="2"/>
    </xf>
    <xf numFmtId="0" fontId="3" fillId="0" borderId="10" xfId="0" applyFont="1" applyBorder="1" applyAlignment="1">
      <alignment horizontal="right" vertical="center" readingOrder="2"/>
    </xf>
    <xf numFmtId="0" fontId="3" fillId="0" borderId="9" xfId="0" applyFont="1" applyBorder="1" applyAlignment="1">
      <alignment vertical="center" readingOrder="2"/>
    </xf>
    <xf numFmtId="0" fontId="1" fillId="0" borderId="9" xfId="0" applyFont="1" applyBorder="1" applyAlignment="1">
      <alignment vertical="center" readingOrder="2"/>
    </xf>
    <xf numFmtId="0" fontId="1" fillId="0" borderId="0" xfId="0" applyFont="1" applyBorder="1" applyAlignment="1">
      <alignment vertical="center" readingOrder="2"/>
    </xf>
    <xf numFmtId="0" fontId="8" fillId="0" borderId="0" xfId="0" applyFont="1" applyBorder="1" applyAlignment="1">
      <alignment horizontal="right" vertical="center" readingOrder="2"/>
    </xf>
    <xf numFmtId="0" fontId="8" fillId="0" borderId="10" xfId="0" applyFont="1" applyBorder="1" applyAlignment="1">
      <alignment horizontal="right" vertical="center" readingOrder="2"/>
    </xf>
    <xf numFmtId="0" fontId="9" fillId="2" borderId="14" xfId="0" applyFont="1" applyFill="1" applyBorder="1" applyAlignment="1">
      <alignment vertical="center" readingOrder="2"/>
    </xf>
    <xf numFmtId="0" fontId="9" fillId="2" borderId="15" xfId="0" applyFont="1" applyFill="1" applyBorder="1" applyAlignment="1">
      <alignment vertical="center" readingOrder="2"/>
    </xf>
    <xf numFmtId="0" fontId="6" fillId="2" borderId="6" xfId="0" applyFont="1" applyFill="1" applyBorder="1" applyAlignment="1">
      <alignment horizontal="center" vertical="center" wrapText="1" readingOrder="2"/>
    </xf>
    <xf numFmtId="0" fontId="6" fillId="2" borderId="7" xfId="0" applyFont="1" applyFill="1" applyBorder="1" applyAlignment="1">
      <alignment horizontal="center" vertical="center" wrapText="1" readingOrder="2"/>
    </xf>
    <xf numFmtId="0" fontId="6" fillId="2" borderId="8" xfId="0" applyFont="1" applyFill="1" applyBorder="1" applyAlignment="1">
      <alignment horizontal="center" vertical="center" wrapText="1" readingOrder="2"/>
    </xf>
    <xf numFmtId="0" fontId="7" fillId="2" borderId="11" xfId="0" applyFont="1" applyFill="1" applyBorder="1" applyAlignment="1">
      <alignment horizontal="center" vertical="center" wrapText="1" readingOrder="2"/>
    </xf>
    <xf numFmtId="0" fontId="7" fillId="2" borderId="12" xfId="0" applyFont="1" applyFill="1" applyBorder="1" applyAlignment="1">
      <alignment horizontal="center" vertical="center" wrapText="1" readingOrder="2"/>
    </xf>
    <xf numFmtId="0" fontId="7" fillId="2" borderId="13" xfId="0" applyFont="1" applyFill="1" applyBorder="1" applyAlignment="1">
      <alignment horizontal="center" vertical="center" wrapText="1" readingOrder="2"/>
    </xf>
    <xf numFmtId="0" fontId="10" fillId="2" borderId="12" xfId="0" applyFont="1" applyFill="1" applyBorder="1" applyAlignment="1">
      <alignment horizontal="center" vertical="center" wrapText="1" readingOrder="2"/>
    </xf>
    <xf numFmtId="0" fontId="10" fillId="2" borderId="13" xfId="0" applyFont="1" applyFill="1" applyBorder="1" applyAlignment="1">
      <alignment horizontal="center" vertical="center" wrapText="1" readingOrder="2"/>
    </xf>
    <xf numFmtId="0" fontId="10" fillId="2" borderId="11" xfId="0" applyFont="1" applyFill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3" fontId="7" fillId="0" borderId="9" xfId="0" applyNumberFormat="1" applyFont="1" applyFill="1" applyBorder="1" applyAlignment="1">
      <alignment horizontal="center" vertical="center" wrapText="1" readingOrder="2"/>
    </xf>
    <xf numFmtId="3" fontId="7" fillId="0" borderId="0" xfId="0" applyNumberFormat="1" applyFont="1" applyFill="1" applyBorder="1" applyAlignment="1">
      <alignment horizontal="center" vertical="center" wrapText="1" readingOrder="2"/>
    </xf>
    <xf numFmtId="3" fontId="7" fillId="0" borderId="10" xfId="1" applyNumberFormat="1" applyFont="1" applyFill="1" applyBorder="1" applyAlignment="1">
      <alignment horizontal="center" vertical="center" wrapText="1" readingOrder="2"/>
    </xf>
    <xf numFmtId="4" fontId="7" fillId="0" borderId="9" xfId="1" applyNumberFormat="1" applyFont="1" applyFill="1" applyBorder="1" applyAlignment="1">
      <alignment horizontal="center" vertical="center" wrapText="1" readingOrder="2"/>
    </xf>
    <xf numFmtId="4" fontId="7" fillId="0" borderId="10" xfId="0" applyNumberFormat="1" applyFont="1" applyFill="1" applyBorder="1" applyAlignment="1">
      <alignment horizontal="center" vertical="center" wrapText="1" readingOrder="2"/>
    </xf>
    <xf numFmtId="4" fontId="7" fillId="0" borderId="0" xfId="0" applyNumberFormat="1" applyFont="1" applyFill="1" applyBorder="1" applyAlignment="1">
      <alignment horizontal="center" vertical="center" wrapText="1" readingOrder="2"/>
    </xf>
    <xf numFmtId="4" fontId="7" fillId="0" borderId="10" xfId="1" applyNumberFormat="1" applyFont="1" applyFill="1" applyBorder="1" applyAlignment="1">
      <alignment horizontal="center" vertical="center" wrapText="1" readingOrder="2"/>
    </xf>
    <xf numFmtId="10" fontId="7" fillId="0" borderId="0" xfId="0" applyNumberFormat="1" applyFont="1" applyFill="1" applyBorder="1" applyAlignment="1">
      <alignment horizontal="center" vertical="center" wrapText="1" readingOrder="2"/>
    </xf>
    <xf numFmtId="10" fontId="7" fillId="0" borderId="0" xfId="1" applyNumberFormat="1" applyFont="1" applyFill="1" applyBorder="1" applyAlignment="1">
      <alignment horizontal="center" vertical="center" wrapText="1" readingOrder="2"/>
    </xf>
    <xf numFmtId="39" fontId="7" fillId="0" borderId="9" xfId="1" applyNumberFormat="1" applyFont="1" applyFill="1" applyBorder="1" applyAlignment="1">
      <alignment horizontal="center" vertical="center" wrapText="1" readingOrder="2"/>
    </xf>
    <xf numFmtId="39" fontId="7" fillId="0" borderId="0" xfId="1" applyNumberFormat="1" applyFont="1" applyFill="1" applyBorder="1" applyAlignment="1">
      <alignment horizontal="center" vertical="center" wrapText="1" readingOrder="2"/>
    </xf>
    <xf numFmtId="39" fontId="7" fillId="0" borderId="10" xfId="1" applyNumberFormat="1" applyFont="1" applyFill="1" applyBorder="1" applyAlignment="1">
      <alignment horizontal="center" vertical="center" wrapText="1" readingOrder="2"/>
    </xf>
    <xf numFmtId="3" fontId="7" fillId="0" borderId="0" xfId="1" applyNumberFormat="1" applyFont="1" applyFill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3" fontId="7" fillId="0" borderId="11" xfId="0" applyNumberFormat="1" applyFont="1" applyFill="1" applyBorder="1" applyAlignment="1">
      <alignment horizontal="center" vertical="center" wrapText="1" readingOrder="2"/>
    </xf>
    <xf numFmtId="3" fontId="7" fillId="0" borderId="12" xfId="0" applyNumberFormat="1" applyFont="1" applyFill="1" applyBorder="1" applyAlignment="1">
      <alignment horizontal="center" vertical="center" wrapText="1" readingOrder="2"/>
    </xf>
    <xf numFmtId="3" fontId="7" fillId="0" borderId="13" xfId="1" applyNumberFormat="1" applyFont="1" applyFill="1" applyBorder="1" applyAlignment="1">
      <alignment horizontal="center" vertical="center" wrapText="1" readingOrder="2"/>
    </xf>
    <xf numFmtId="3" fontId="7" fillId="0" borderId="12" xfId="1" applyNumberFormat="1" applyFont="1" applyFill="1" applyBorder="1" applyAlignment="1">
      <alignment horizontal="center" vertical="center" wrapText="1" readingOrder="2"/>
    </xf>
    <xf numFmtId="4" fontId="7" fillId="0" borderId="11" xfId="1" applyNumberFormat="1" applyFont="1" applyFill="1" applyBorder="1" applyAlignment="1">
      <alignment horizontal="center" vertical="center" wrapText="1" readingOrder="2"/>
    </xf>
    <xf numFmtId="4" fontId="7" fillId="0" borderId="13" xfId="0" applyNumberFormat="1" applyFont="1" applyFill="1" applyBorder="1" applyAlignment="1">
      <alignment horizontal="center" vertical="center" wrapText="1" readingOrder="2"/>
    </xf>
    <xf numFmtId="4" fontId="7" fillId="0" borderId="12" xfId="0" applyNumberFormat="1" applyFont="1" applyFill="1" applyBorder="1" applyAlignment="1">
      <alignment horizontal="center" vertical="center" wrapText="1" readingOrder="2"/>
    </xf>
    <xf numFmtId="4" fontId="7" fillId="0" borderId="13" xfId="1" applyNumberFormat="1" applyFont="1" applyFill="1" applyBorder="1" applyAlignment="1">
      <alignment horizontal="center" vertical="center" wrapText="1" readingOrder="2"/>
    </xf>
    <xf numFmtId="10" fontId="7" fillId="0" borderId="12" xfId="0" applyNumberFormat="1" applyFont="1" applyFill="1" applyBorder="1" applyAlignment="1">
      <alignment horizontal="center" vertical="center" wrapText="1" readingOrder="2"/>
    </xf>
    <xf numFmtId="10" fontId="7" fillId="0" borderId="12" xfId="1" applyNumberFormat="1" applyFont="1" applyFill="1" applyBorder="1" applyAlignment="1">
      <alignment horizontal="center" vertical="center" wrapText="1" readingOrder="2"/>
    </xf>
    <xf numFmtId="39" fontId="7" fillId="0" borderId="11" xfId="1" applyNumberFormat="1" applyFont="1" applyFill="1" applyBorder="1" applyAlignment="1">
      <alignment horizontal="center" vertical="center" wrapText="1" readingOrder="2"/>
    </xf>
    <xf numFmtId="39" fontId="7" fillId="0" borderId="12" xfId="1" applyNumberFormat="1" applyFont="1" applyFill="1" applyBorder="1" applyAlignment="1">
      <alignment horizontal="center" vertical="center" wrapText="1" readingOrder="2"/>
    </xf>
    <xf numFmtId="39" fontId="7" fillId="0" borderId="13" xfId="1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vertical="center" readingOrder="2"/>
    </xf>
    <xf numFmtId="0" fontId="3" fillId="0" borderId="0" xfId="0" applyFont="1" applyAlignment="1">
      <alignment horizontal="left" vertical="center" readingOrder="2"/>
    </xf>
    <xf numFmtId="0" fontId="1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left" vertical="center" wrapText="1" readingOrder="2"/>
    </xf>
    <xf numFmtId="0" fontId="7" fillId="0" borderId="3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3" fontId="6" fillId="0" borderId="9" xfId="0" applyNumberFormat="1" applyFont="1" applyFill="1" applyBorder="1" applyAlignment="1">
      <alignment horizontal="center" vertical="center" wrapText="1" readingOrder="2"/>
    </xf>
    <xf numFmtId="3" fontId="6" fillId="0" borderId="0" xfId="0" applyNumberFormat="1" applyFont="1" applyFill="1" applyBorder="1" applyAlignment="1">
      <alignment horizontal="center" vertical="center" wrapText="1" readingOrder="2"/>
    </xf>
    <xf numFmtId="3" fontId="6" fillId="0" borderId="10" xfId="1" applyNumberFormat="1" applyFont="1" applyFill="1" applyBorder="1" applyAlignment="1">
      <alignment horizontal="center" vertical="center" wrapText="1" readingOrder="2"/>
    </xf>
    <xf numFmtId="4" fontId="6" fillId="0" borderId="9" xfId="1" applyNumberFormat="1" applyFont="1" applyFill="1" applyBorder="1" applyAlignment="1">
      <alignment horizontal="center" vertical="center" wrapText="1" readingOrder="2"/>
    </xf>
    <xf numFmtId="4" fontId="6" fillId="0" borderId="10" xfId="0" applyNumberFormat="1" applyFont="1" applyFill="1" applyBorder="1" applyAlignment="1">
      <alignment horizontal="center" vertical="center" wrapText="1" readingOrder="2"/>
    </xf>
    <xf numFmtId="4" fontId="6" fillId="0" borderId="0" xfId="0" applyNumberFormat="1" applyFont="1" applyFill="1" applyBorder="1" applyAlignment="1">
      <alignment horizontal="center" vertical="center" wrapText="1" readingOrder="2"/>
    </xf>
    <xf numFmtId="4" fontId="6" fillId="0" borderId="10" xfId="1" applyNumberFormat="1" applyFont="1" applyFill="1" applyBorder="1" applyAlignment="1">
      <alignment horizontal="center" vertical="center" wrapText="1" readingOrder="2"/>
    </xf>
    <xf numFmtId="10" fontId="6" fillId="0" borderId="0" xfId="0" applyNumberFormat="1" applyFont="1" applyFill="1" applyBorder="1" applyAlignment="1">
      <alignment horizontal="center" vertical="center" wrapText="1" readingOrder="2"/>
    </xf>
    <xf numFmtId="10" fontId="6" fillId="0" borderId="0" xfId="1" applyNumberFormat="1" applyFont="1" applyFill="1" applyBorder="1" applyAlignment="1">
      <alignment horizontal="center" vertical="center" wrapText="1" readingOrder="2"/>
    </xf>
    <xf numFmtId="39" fontId="6" fillId="0" borderId="9" xfId="1" applyNumberFormat="1" applyFont="1" applyFill="1" applyBorder="1" applyAlignment="1">
      <alignment horizontal="center" vertical="center" wrapText="1" readingOrder="2"/>
    </xf>
    <xf numFmtId="39" fontId="6" fillId="0" borderId="0" xfId="1" applyNumberFormat="1" applyFont="1" applyFill="1" applyBorder="1" applyAlignment="1">
      <alignment horizontal="center" vertical="center" wrapText="1" readingOrder="2"/>
    </xf>
    <xf numFmtId="39" fontId="6" fillId="0" borderId="10" xfId="1" applyNumberFormat="1" applyFont="1" applyFill="1" applyBorder="1" applyAlignment="1">
      <alignment horizontal="center" vertical="center" wrapText="1" readingOrder="2"/>
    </xf>
    <xf numFmtId="3" fontId="6" fillId="0" borderId="0" xfId="1" applyNumberFormat="1" applyFont="1" applyFill="1" applyBorder="1" applyAlignment="1">
      <alignment horizontal="center" vertical="center" wrapText="1" readingOrder="2"/>
    </xf>
    <xf numFmtId="0" fontId="6" fillId="0" borderId="14" xfId="0" applyFont="1" applyBorder="1" applyAlignment="1">
      <alignment horizontal="right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3" fontId="6" fillId="0" borderId="14" xfId="0" applyNumberFormat="1" applyFont="1" applyFill="1" applyBorder="1" applyAlignment="1">
      <alignment horizontal="center" vertical="center" wrapText="1" readingOrder="2"/>
    </xf>
    <xf numFmtId="3" fontId="6" fillId="0" borderId="15" xfId="0" applyNumberFormat="1" applyFont="1" applyFill="1" applyBorder="1" applyAlignment="1">
      <alignment horizontal="center" vertical="center" wrapText="1" readingOrder="2"/>
    </xf>
    <xf numFmtId="3" fontId="6" fillId="0" borderId="2" xfId="1" applyNumberFormat="1" applyFont="1" applyFill="1" applyBorder="1" applyAlignment="1">
      <alignment horizontal="center" vertical="center" wrapText="1" readingOrder="2"/>
    </xf>
    <xf numFmtId="4" fontId="6" fillId="0" borderId="14" xfId="1" applyNumberFormat="1" applyFont="1" applyFill="1" applyBorder="1" applyAlignment="1">
      <alignment horizontal="center" vertical="center" wrapText="1" readingOrder="2"/>
    </xf>
    <xf numFmtId="4" fontId="6" fillId="0" borderId="2" xfId="0" applyNumberFormat="1" applyFont="1" applyFill="1" applyBorder="1" applyAlignment="1">
      <alignment horizontal="center" vertical="center" wrapText="1" readingOrder="2"/>
    </xf>
    <xf numFmtId="4" fontId="6" fillId="0" borderId="15" xfId="0" applyNumberFormat="1" applyFont="1" applyFill="1" applyBorder="1" applyAlignment="1">
      <alignment horizontal="center" vertical="center" wrapText="1" readingOrder="2"/>
    </xf>
    <xf numFmtId="4" fontId="6" fillId="0" borderId="2" xfId="1" applyNumberFormat="1" applyFont="1" applyFill="1" applyBorder="1" applyAlignment="1">
      <alignment horizontal="center" vertical="center" wrapText="1" readingOrder="2"/>
    </xf>
    <xf numFmtId="10" fontId="6" fillId="0" borderId="15" xfId="0" applyNumberFormat="1" applyFont="1" applyFill="1" applyBorder="1" applyAlignment="1">
      <alignment horizontal="center" vertical="center" wrapText="1" readingOrder="2"/>
    </xf>
    <xf numFmtId="10" fontId="6" fillId="0" borderId="15" xfId="1" applyNumberFormat="1" applyFont="1" applyFill="1" applyBorder="1" applyAlignment="1">
      <alignment horizontal="center" vertical="center" wrapText="1" readingOrder="2"/>
    </xf>
    <xf numFmtId="39" fontId="6" fillId="0" borderId="14" xfId="1" applyNumberFormat="1" applyFont="1" applyFill="1" applyBorder="1" applyAlignment="1">
      <alignment horizontal="center" vertical="center" wrapText="1" readingOrder="2"/>
    </xf>
    <xf numFmtId="39" fontId="6" fillId="0" borderId="15" xfId="1" applyNumberFormat="1" applyFont="1" applyFill="1" applyBorder="1" applyAlignment="1">
      <alignment horizontal="center" vertical="center" wrapText="1" readingOrder="2"/>
    </xf>
    <xf numFmtId="39" fontId="6" fillId="0" borderId="2" xfId="1" applyNumberFormat="1" applyFont="1" applyFill="1" applyBorder="1" applyAlignment="1">
      <alignment horizontal="center" vertical="center" wrapText="1" readingOrder="2"/>
    </xf>
    <xf numFmtId="0" fontId="1" fillId="0" borderId="6" xfId="0" applyFont="1" applyBorder="1" applyAlignment="1">
      <alignment vertical="center" readingOrder="2"/>
    </xf>
    <xf numFmtId="0" fontId="1" fillId="0" borderId="7" xfId="0" applyFont="1" applyBorder="1" applyAlignment="1">
      <alignment vertical="center" readingOrder="2"/>
    </xf>
    <xf numFmtId="0" fontId="1" fillId="0" borderId="7" xfId="0" applyFont="1" applyBorder="1" applyAlignment="1">
      <alignment horizontal="right" vertical="center" readingOrder="2"/>
    </xf>
    <xf numFmtId="0" fontId="1" fillId="0" borderId="8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left" vertical="center" readingOrder="2"/>
    </xf>
    <xf numFmtId="0" fontId="1" fillId="0" borderId="0" xfId="0" applyFont="1" applyBorder="1" applyAlignment="1">
      <alignment horizontal="right" vertical="center" readingOrder="2"/>
    </xf>
    <xf numFmtId="0" fontId="1" fillId="0" borderId="10" xfId="0" applyFont="1" applyBorder="1" applyAlignment="1">
      <alignment horizontal="right" vertical="center" readingOrder="2"/>
    </xf>
    <xf numFmtId="0" fontId="1" fillId="0" borderId="11" xfId="0" applyFont="1" applyBorder="1" applyAlignment="1">
      <alignment vertical="center" readingOrder="2"/>
    </xf>
    <xf numFmtId="0" fontId="1" fillId="0" borderId="12" xfId="0" applyFont="1" applyBorder="1" applyAlignment="1">
      <alignment vertical="center" readingOrder="2"/>
    </xf>
    <xf numFmtId="0" fontId="1" fillId="0" borderId="12" xfId="0" applyFont="1" applyBorder="1" applyAlignment="1">
      <alignment horizontal="right" vertical="center" readingOrder="2"/>
    </xf>
    <xf numFmtId="0" fontId="3" fillId="0" borderId="12" xfId="0" applyFont="1" applyBorder="1" applyAlignment="1">
      <alignment horizontal="left" vertical="center" readingOrder="2"/>
    </xf>
    <xf numFmtId="0" fontId="1" fillId="0" borderId="13" xfId="0" applyFont="1" applyBorder="1" applyAlignment="1">
      <alignment horizontal="right" vertical="center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center" vertical="center" readingOrder="2"/>
    </xf>
    <xf numFmtId="0" fontId="2" fillId="0" borderId="6" xfId="0" applyFont="1" applyBorder="1" applyAlignment="1">
      <alignment horizontal="center" readingOrder="2"/>
    </xf>
    <xf numFmtId="0" fontId="2" fillId="0" borderId="7" xfId="0" applyFont="1" applyBorder="1" applyAlignment="1">
      <alignment horizontal="center" readingOrder="2"/>
    </xf>
    <xf numFmtId="0" fontId="2" fillId="0" borderId="8" xfId="0" applyFont="1" applyBorder="1" applyAlignment="1">
      <alignment horizontal="center" readingOrder="2"/>
    </xf>
    <xf numFmtId="0" fontId="9" fillId="2" borderId="14" xfId="0" applyFont="1" applyFill="1" applyBorder="1" applyAlignment="1">
      <alignment horizontal="center" vertical="center" readingOrder="2"/>
    </xf>
    <xf numFmtId="0" fontId="9" fillId="2" borderId="2" xfId="0" applyFont="1" applyFill="1" applyBorder="1" applyAlignment="1">
      <alignment horizontal="center" vertical="center" readingOrder="2"/>
    </xf>
    <xf numFmtId="0" fontId="9" fillId="2" borderId="15" xfId="0" applyFont="1" applyFill="1" applyBorder="1" applyAlignment="1">
      <alignment horizontal="center" vertical="center" readingOrder="2"/>
    </xf>
    <xf numFmtId="0" fontId="6" fillId="2" borderId="6" xfId="0" applyFont="1" applyFill="1" applyBorder="1" applyAlignment="1">
      <alignment horizontal="center" vertical="center" wrapText="1" readingOrder="2"/>
    </xf>
    <xf numFmtId="0" fontId="6" fillId="2" borderId="11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5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FF"/>
      <color rgb="FFCCFFCC"/>
      <color rgb="FFFFFFCC"/>
      <color rgb="FFFFCC99"/>
      <color rgb="FFFFCCFF"/>
      <color rgb="FFFF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295275</xdr:colOff>
      <xdr:row>1</xdr:row>
      <xdr:rowOff>9525</xdr:rowOff>
    </xdr:from>
    <xdr:to>
      <xdr:col>26</xdr:col>
      <xdr:colOff>323850</xdr:colOff>
      <xdr:row>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0257900" y="66675"/>
          <a:ext cx="144780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139212</xdr:colOff>
      <xdr:row>1</xdr:row>
      <xdr:rowOff>102577</xdr:rowOff>
    </xdr:from>
    <xdr:to>
      <xdr:col>2</xdr:col>
      <xdr:colOff>1080722</xdr:colOff>
      <xdr:row>2</xdr:row>
      <xdr:rowOff>239953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789" y="161192"/>
          <a:ext cx="1351818" cy="357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A31"/>
  <sheetViews>
    <sheetView showGridLines="0" rightToLeft="1" tabSelected="1" view="pageLayout" topLeftCell="A4" zoomScaleNormal="130" workbookViewId="0">
      <selection activeCell="C3" sqref="C3"/>
    </sheetView>
  </sheetViews>
  <sheetFormatPr defaultColWidth="9.140625" defaultRowHeight="11.25" x14ac:dyDescent="0.25"/>
  <cols>
    <col min="1" max="1" width="1.5703125" style="1" customWidth="1"/>
    <col min="2" max="2" width="4.42578125" style="1" customWidth="1"/>
    <col min="3" max="3" width="11.28515625" style="1" customWidth="1"/>
    <col min="4" max="4" width="3.5703125" style="1" customWidth="1"/>
    <col min="5" max="5" width="4.5703125" style="3" customWidth="1"/>
    <col min="6" max="6" width="4.7109375" style="3" customWidth="1"/>
    <col min="7" max="7" width="4.85546875" style="3" customWidth="1"/>
    <col min="8" max="8" width="4.5703125" style="3" customWidth="1"/>
    <col min="9" max="9" width="5.42578125" style="3" bestFit="1" customWidth="1"/>
    <col min="10" max="11" width="5" style="3" customWidth="1"/>
    <col min="12" max="12" width="4.28515625" style="3" customWidth="1"/>
    <col min="13" max="13" width="5.42578125" style="3" bestFit="1" customWidth="1"/>
    <col min="14" max="14" width="4.5703125" style="3" customWidth="1"/>
    <col min="15" max="15" width="5.42578125" style="3" bestFit="1" customWidth="1"/>
    <col min="16" max="16" width="4.28515625" style="3" customWidth="1"/>
    <col min="17" max="20" width="4.5703125" style="3" customWidth="1"/>
    <col min="21" max="23" width="5" style="3" customWidth="1"/>
    <col min="24" max="27" width="4.85546875" style="3" customWidth="1"/>
    <col min="28" max="16384" width="9.140625" style="1"/>
  </cols>
  <sheetData>
    <row r="1" spans="2:27" ht="4.5" customHeight="1" x14ac:dyDescent="0.25"/>
    <row r="2" spans="2:27" ht="17.25" customHeight="1" x14ac:dyDescent="0.2">
      <c r="B2" s="111" t="s">
        <v>51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3"/>
    </row>
    <row r="3" spans="2:27" ht="21" customHeigh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</row>
    <row r="4" spans="2:27" s="2" customFormat="1" ht="10.5" customHeight="1" x14ac:dyDescent="0.25">
      <c r="B4" s="10" t="s">
        <v>52</v>
      </c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  <c r="W4" s="11" t="s">
        <v>18</v>
      </c>
      <c r="X4" s="12"/>
      <c r="Y4" s="12"/>
      <c r="Z4" s="12"/>
      <c r="AA4" s="14"/>
    </row>
    <row r="5" spans="2:27" s="2" customFormat="1" ht="10.5" customHeight="1" x14ac:dyDescent="0.25">
      <c r="B5" s="10" t="s">
        <v>53</v>
      </c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1" t="s">
        <v>19</v>
      </c>
      <c r="X5" s="12"/>
      <c r="Y5" s="12"/>
      <c r="Z5" s="12"/>
      <c r="AA5" s="14"/>
    </row>
    <row r="6" spans="2:27" s="2" customFormat="1" ht="10.5" customHeight="1" x14ac:dyDescent="0.25">
      <c r="B6" s="10" t="s">
        <v>14</v>
      </c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4"/>
    </row>
    <row r="7" spans="2:27" s="2" customFormat="1" ht="10.5" customHeight="1" x14ac:dyDescent="0.25">
      <c r="B7" s="10" t="s">
        <v>54</v>
      </c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4"/>
    </row>
    <row r="8" spans="2:27" s="2" customFormat="1" ht="10.5" customHeight="1" x14ac:dyDescent="0.25">
      <c r="B8" s="10" t="s">
        <v>55</v>
      </c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4"/>
    </row>
    <row r="9" spans="2:27" s="2" customFormat="1" ht="6" customHeight="1" x14ac:dyDescent="0.25">
      <c r="B9" s="15"/>
      <c r="C9" s="13"/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4"/>
    </row>
    <row r="10" spans="2:27" ht="16.5" customHeight="1" x14ac:dyDescent="0.25">
      <c r="B10" s="16"/>
      <c r="C10" s="17"/>
      <c r="D10" s="17"/>
      <c r="E10" s="18"/>
      <c r="F10" s="18"/>
      <c r="G10" s="18"/>
      <c r="H10" s="18"/>
      <c r="I10" s="114" t="s">
        <v>21</v>
      </c>
      <c r="J10" s="116"/>
      <c r="K10" s="116"/>
      <c r="L10" s="116"/>
      <c r="M10" s="116"/>
      <c r="N10" s="116"/>
      <c r="O10" s="116"/>
      <c r="P10" s="115"/>
      <c r="Q10" s="114" t="s">
        <v>22</v>
      </c>
      <c r="R10" s="116"/>
      <c r="S10" s="116"/>
      <c r="T10" s="115"/>
      <c r="U10" s="18"/>
      <c r="V10" s="18"/>
      <c r="W10" s="18"/>
      <c r="X10" s="18"/>
      <c r="Y10" s="18"/>
      <c r="Z10" s="18"/>
      <c r="AA10" s="19"/>
    </row>
    <row r="11" spans="2:27" ht="14.25" customHeight="1" x14ac:dyDescent="0.25">
      <c r="B11" s="15"/>
      <c r="C11" s="13"/>
      <c r="D11" s="13"/>
      <c r="E11" s="114" t="s">
        <v>20</v>
      </c>
      <c r="F11" s="116"/>
      <c r="G11" s="116"/>
      <c r="H11" s="115"/>
      <c r="I11" s="20"/>
      <c r="J11" s="21"/>
      <c r="K11" s="114" t="s">
        <v>26</v>
      </c>
      <c r="L11" s="115"/>
      <c r="M11" s="114" t="s">
        <v>25</v>
      </c>
      <c r="N11" s="115"/>
      <c r="O11" s="114" t="s">
        <v>24</v>
      </c>
      <c r="P11" s="115"/>
      <c r="Q11" s="114" t="s">
        <v>38</v>
      </c>
      <c r="R11" s="115"/>
      <c r="S11" s="114" t="s">
        <v>39</v>
      </c>
      <c r="T11" s="115"/>
      <c r="U11" s="114" t="s">
        <v>93</v>
      </c>
      <c r="V11" s="116"/>
      <c r="W11" s="115"/>
      <c r="X11" s="114" t="s">
        <v>27</v>
      </c>
      <c r="Y11" s="116"/>
      <c r="Z11" s="116"/>
      <c r="AA11" s="115"/>
    </row>
    <row r="12" spans="2:27" ht="32.25" customHeight="1" x14ac:dyDescent="0.25">
      <c r="B12" s="117" t="s">
        <v>28</v>
      </c>
      <c r="C12" s="117" t="s">
        <v>29</v>
      </c>
      <c r="D12" s="119" t="s">
        <v>30</v>
      </c>
      <c r="E12" s="22" t="s">
        <v>31</v>
      </c>
      <c r="F12" s="23" t="s">
        <v>32</v>
      </c>
      <c r="G12" s="23" t="s">
        <v>33</v>
      </c>
      <c r="H12" s="24" t="s">
        <v>34</v>
      </c>
      <c r="I12" s="22" t="s">
        <v>31</v>
      </c>
      <c r="J12" s="23" t="s">
        <v>32</v>
      </c>
      <c r="K12" s="22" t="s">
        <v>33</v>
      </c>
      <c r="L12" s="24" t="s">
        <v>34</v>
      </c>
      <c r="M12" s="22" t="s">
        <v>33</v>
      </c>
      <c r="N12" s="24" t="s">
        <v>34</v>
      </c>
      <c r="O12" s="22" t="s">
        <v>33</v>
      </c>
      <c r="P12" s="24" t="s">
        <v>34</v>
      </c>
      <c r="Q12" s="22" t="s">
        <v>33</v>
      </c>
      <c r="R12" s="24" t="s">
        <v>34</v>
      </c>
      <c r="S12" s="22" t="s">
        <v>33</v>
      </c>
      <c r="T12" s="24" t="s">
        <v>34</v>
      </c>
      <c r="U12" s="23" t="s">
        <v>35</v>
      </c>
      <c r="V12" s="23" t="s">
        <v>36</v>
      </c>
      <c r="W12" s="23" t="s">
        <v>37</v>
      </c>
      <c r="X12" s="22" t="s">
        <v>31</v>
      </c>
      <c r="Y12" s="23" t="s">
        <v>32</v>
      </c>
      <c r="Z12" s="23" t="s">
        <v>33</v>
      </c>
      <c r="AA12" s="24" t="s">
        <v>34</v>
      </c>
    </row>
    <row r="13" spans="2:27" s="5" customFormat="1" ht="16.5" customHeight="1" x14ac:dyDescent="0.25">
      <c r="B13" s="118"/>
      <c r="C13" s="118"/>
      <c r="D13" s="120"/>
      <c r="E13" s="25" t="s">
        <v>70</v>
      </c>
      <c r="F13" s="26" t="s">
        <v>71</v>
      </c>
      <c r="G13" s="26" t="s">
        <v>72</v>
      </c>
      <c r="H13" s="27" t="s">
        <v>73</v>
      </c>
      <c r="I13" s="25" t="s">
        <v>74</v>
      </c>
      <c r="J13" s="26" t="s">
        <v>75</v>
      </c>
      <c r="K13" s="25" t="s">
        <v>76</v>
      </c>
      <c r="L13" s="27" t="s">
        <v>77</v>
      </c>
      <c r="M13" s="28" t="s">
        <v>78</v>
      </c>
      <c r="N13" s="29" t="s">
        <v>79</v>
      </c>
      <c r="O13" s="26" t="s">
        <v>80</v>
      </c>
      <c r="P13" s="27" t="s">
        <v>81</v>
      </c>
      <c r="Q13" s="30" t="s">
        <v>82</v>
      </c>
      <c r="R13" s="29" t="s">
        <v>83</v>
      </c>
      <c r="S13" s="28" t="s">
        <v>84</v>
      </c>
      <c r="T13" s="29" t="s">
        <v>85</v>
      </c>
      <c r="U13" s="28" t="s">
        <v>86</v>
      </c>
      <c r="V13" s="28" t="s">
        <v>87</v>
      </c>
      <c r="W13" s="28" t="s">
        <v>88</v>
      </c>
      <c r="X13" s="30" t="s">
        <v>89</v>
      </c>
      <c r="Y13" s="28" t="s">
        <v>90</v>
      </c>
      <c r="Z13" s="28" t="s">
        <v>91</v>
      </c>
      <c r="AA13" s="29" t="s">
        <v>92</v>
      </c>
    </row>
    <row r="14" spans="2:27" ht="23.25" customHeight="1" x14ac:dyDescent="0.25">
      <c r="B14" s="67">
        <v>100</v>
      </c>
      <c r="C14" s="108" t="s">
        <v>57</v>
      </c>
      <c r="D14" s="68" t="s">
        <v>0</v>
      </c>
      <c r="E14" s="69">
        <v>113272</v>
      </c>
      <c r="F14" s="70">
        <v>106253</v>
      </c>
      <c r="G14" s="70">
        <v>97966</v>
      </c>
      <c r="H14" s="71">
        <v>380</v>
      </c>
      <c r="I14" s="69">
        <v>241308</v>
      </c>
      <c r="J14" s="70">
        <v>230789</v>
      </c>
      <c r="K14" s="69">
        <f>G14/F14*J14*0.95</f>
        <v>202149.59968471478</v>
      </c>
      <c r="L14" s="71">
        <v>905</v>
      </c>
      <c r="M14" s="70">
        <f>G14/F14*J14</f>
        <v>212789.05229969978</v>
      </c>
      <c r="N14" s="71">
        <f>H14/F14*J14</f>
        <v>825.38676555014911</v>
      </c>
      <c r="O14" s="70">
        <f>K14*1.05</f>
        <v>212257.07966895052</v>
      </c>
      <c r="P14" s="71">
        <f>L14*0.97</f>
        <v>877.85</v>
      </c>
      <c r="Q14" s="72">
        <f>M14/O14</f>
        <v>1.0025062656641603</v>
      </c>
      <c r="R14" s="73">
        <f>N14/P14</f>
        <v>0.94023667545725242</v>
      </c>
      <c r="S14" s="74">
        <f>M14/K14</f>
        <v>1.0526315789473686</v>
      </c>
      <c r="T14" s="75">
        <f>N14/L14</f>
        <v>0.91202957519353489</v>
      </c>
      <c r="U14" s="76">
        <f>O14/J14</f>
        <v>0.91970189077014297</v>
      </c>
      <c r="V14" s="77">
        <f>M14/J14</f>
        <v>0.92200690804024354</v>
      </c>
      <c r="W14" s="77">
        <f>M14/I14</f>
        <v>0.88181515863419269</v>
      </c>
      <c r="X14" s="78">
        <f>I14/E14</f>
        <v>2.1303411257857192</v>
      </c>
      <c r="Y14" s="79">
        <f>J14/F14</f>
        <v>2.1720704356582874</v>
      </c>
      <c r="Z14" s="79">
        <f>K14/G14</f>
        <v>2.0634669138753727</v>
      </c>
      <c r="AA14" s="80">
        <f>L14/H14</f>
        <v>2.3815789473684212</v>
      </c>
    </row>
    <row r="15" spans="2:27" ht="23.25" customHeight="1" x14ac:dyDescent="0.25">
      <c r="B15" s="67">
        <v>110</v>
      </c>
      <c r="C15" s="109" t="s">
        <v>58</v>
      </c>
      <c r="D15" s="68" t="s">
        <v>1</v>
      </c>
      <c r="E15" s="69">
        <v>43540</v>
      </c>
      <c r="F15" s="70">
        <v>40040</v>
      </c>
      <c r="G15" s="70">
        <v>39852</v>
      </c>
      <c r="H15" s="71">
        <v>80</v>
      </c>
      <c r="I15" s="70">
        <v>850106</v>
      </c>
      <c r="J15" s="70">
        <v>700157</v>
      </c>
      <c r="K15" s="69">
        <f>G15/F15*J15*1.02</f>
        <v>710806.94054145855</v>
      </c>
      <c r="L15" s="71">
        <v>1150</v>
      </c>
      <c r="M15" s="70">
        <f t="shared" ref="M15:M21" si="0">G15/F15*J15</f>
        <v>696869.54955044959</v>
      </c>
      <c r="N15" s="71">
        <f t="shared" ref="N15:N21" si="1">H15/F15*J15</f>
        <v>1398.9150849150849</v>
      </c>
      <c r="O15" s="70">
        <v>690875</v>
      </c>
      <c r="P15" s="71">
        <f t="shared" ref="P15:P21" si="2">L15*1.03</f>
        <v>1184.5</v>
      </c>
      <c r="Q15" s="72">
        <f t="shared" ref="Q15:Q21" si="3">M15/O15</f>
        <v>1.0086767498468603</v>
      </c>
      <c r="R15" s="73">
        <f t="shared" ref="R15:R21" si="4">N15/P15</f>
        <v>1.1810173785690881</v>
      </c>
      <c r="S15" s="74">
        <f t="shared" ref="S15:S22" si="5">M15/K15</f>
        <v>0.98039215686274517</v>
      </c>
      <c r="T15" s="75">
        <f t="shared" ref="T15:T22" si="6">N15/L15</f>
        <v>1.2164478999261608</v>
      </c>
      <c r="U15" s="76">
        <f t="shared" ref="U15:U22" si="7">O15/J15</f>
        <v>0.98674297336168892</v>
      </c>
      <c r="V15" s="77">
        <f t="shared" ref="V15:V22" si="8">M15/J15</f>
        <v>0.99530469530469534</v>
      </c>
      <c r="W15" s="77">
        <f t="shared" ref="W15:W22" si="9">M15/I15</f>
        <v>0.8197443019464038</v>
      </c>
      <c r="X15" s="78">
        <f t="shared" ref="X15:X21" si="10">I15/E15</f>
        <v>19.524712907671105</v>
      </c>
      <c r="Y15" s="79">
        <f t="shared" ref="Y15:Y21" si="11">J15/F15</f>
        <v>17.486438561438561</v>
      </c>
      <c r="Z15" s="79">
        <f t="shared" ref="Z15:Z21" si="12">K15/G15</f>
        <v>17.836167332667333</v>
      </c>
      <c r="AA15" s="80">
        <f t="shared" ref="AA15:AA21" si="13">L15/H15</f>
        <v>14.375</v>
      </c>
    </row>
    <row r="16" spans="2:27" ht="23.25" customHeight="1" x14ac:dyDescent="0.25">
      <c r="B16" s="67">
        <v>120</v>
      </c>
      <c r="C16" s="109" t="s">
        <v>59</v>
      </c>
      <c r="D16" s="68" t="s">
        <v>2</v>
      </c>
      <c r="E16" s="69">
        <v>6062</v>
      </c>
      <c r="F16" s="70">
        <v>6384</v>
      </c>
      <c r="G16" s="70">
        <v>6060</v>
      </c>
      <c r="H16" s="71">
        <v>25</v>
      </c>
      <c r="I16" s="69">
        <v>252387</v>
      </c>
      <c r="J16" s="70">
        <v>260185</v>
      </c>
      <c r="K16" s="69">
        <f>G16/F16*J16*1.05</f>
        <v>259329.12828947371</v>
      </c>
      <c r="L16" s="71">
        <v>985</v>
      </c>
      <c r="M16" s="81">
        <f t="shared" si="0"/>
        <v>246980.12218045114</v>
      </c>
      <c r="N16" s="71">
        <f t="shared" si="1"/>
        <v>1018.8948934837092</v>
      </c>
      <c r="O16" s="81">
        <f>K16*0.98</f>
        <v>254142.54572368422</v>
      </c>
      <c r="P16" s="71">
        <f t="shared" si="2"/>
        <v>1014.5500000000001</v>
      </c>
      <c r="Q16" s="72">
        <f t="shared" si="3"/>
        <v>0.97181729834791064</v>
      </c>
      <c r="R16" s="73">
        <f t="shared" si="4"/>
        <v>1.0042825819168195</v>
      </c>
      <c r="S16" s="74">
        <f t="shared" si="5"/>
        <v>0.95238095238095233</v>
      </c>
      <c r="T16" s="75">
        <f t="shared" si="6"/>
        <v>1.0344110593743241</v>
      </c>
      <c r="U16" s="76">
        <f t="shared" si="7"/>
        <v>0.97677631578947377</v>
      </c>
      <c r="V16" s="77">
        <f t="shared" si="8"/>
        <v>0.9492481203007519</v>
      </c>
      <c r="W16" s="77">
        <f t="shared" si="9"/>
        <v>0.97857703518981221</v>
      </c>
      <c r="X16" s="78">
        <f t="shared" si="10"/>
        <v>41.634279115803366</v>
      </c>
      <c r="Y16" s="79">
        <f t="shared" si="11"/>
        <v>40.755795739348372</v>
      </c>
      <c r="Z16" s="79">
        <f t="shared" si="12"/>
        <v>42.793585526315795</v>
      </c>
      <c r="AA16" s="80">
        <f t="shared" si="13"/>
        <v>39.4</v>
      </c>
    </row>
    <row r="17" spans="2:27" ht="23.25" customHeight="1" x14ac:dyDescent="0.25">
      <c r="B17" s="67">
        <v>130</v>
      </c>
      <c r="C17" s="109" t="s">
        <v>60</v>
      </c>
      <c r="D17" s="68" t="s">
        <v>0</v>
      </c>
      <c r="E17" s="69">
        <v>58919</v>
      </c>
      <c r="F17" s="70">
        <v>57738</v>
      </c>
      <c r="G17" s="70">
        <v>54804</v>
      </c>
      <c r="H17" s="71">
        <v>100</v>
      </c>
      <c r="I17" s="69">
        <v>240970</v>
      </c>
      <c r="J17" s="70">
        <v>209013</v>
      </c>
      <c r="K17" s="69">
        <f>G17/F17*J17*0.96</f>
        <v>190456.17295230177</v>
      </c>
      <c r="L17" s="71">
        <v>500</v>
      </c>
      <c r="M17" s="81">
        <f t="shared" si="0"/>
        <v>198391.84682531437</v>
      </c>
      <c r="N17" s="71">
        <f t="shared" si="1"/>
        <v>362.00249402473241</v>
      </c>
      <c r="O17" s="81">
        <f t="shared" ref="O17:O21" si="14">K17*1.05</f>
        <v>199978.98159991688</v>
      </c>
      <c r="P17" s="71">
        <f t="shared" si="2"/>
        <v>515</v>
      </c>
      <c r="Q17" s="72">
        <f t="shared" si="3"/>
        <v>0.99206349206349209</v>
      </c>
      <c r="R17" s="73">
        <f t="shared" si="4"/>
        <v>0.702917464125694</v>
      </c>
      <c r="S17" s="74">
        <f t="shared" si="5"/>
        <v>1.0416666666666667</v>
      </c>
      <c r="T17" s="75">
        <f t="shared" si="6"/>
        <v>0.72400498804946478</v>
      </c>
      <c r="U17" s="76">
        <f t="shared" si="7"/>
        <v>0.95677772004572381</v>
      </c>
      <c r="V17" s="77">
        <f t="shared" si="8"/>
        <v>0.94918424607710705</v>
      </c>
      <c r="W17" s="77">
        <f t="shared" si="9"/>
        <v>0.82330517004321857</v>
      </c>
      <c r="X17" s="78">
        <f t="shared" si="10"/>
        <v>4.0898521699282062</v>
      </c>
      <c r="Y17" s="79">
        <f t="shared" si="11"/>
        <v>3.6200249402473239</v>
      </c>
      <c r="Z17" s="79">
        <f t="shared" si="12"/>
        <v>3.475223942637431</v>
      </c>
      <c r="AA17" s="80">
        <f t="shared" si="13"/>
        <v>5</v>
      </c>
    </row>
    <row r="18" spans="2:27" ht="23.25" customHeight="1" x14ac:dyDescent="0.25">
      <c r="B18" s="67">
        <v>140</v>
      </c>
      <c r="C18" s="109" t="s">
        <v>61</v>
      </c>
      <c r="D18" s="68" t="s">
        <v>3</v>
      </c>
      <c r="E18" s="69">
        <v>79990</v>
      </c>
      <c r="F18" s="70">
        <v>86351</v>
      </c>
      <c r="G18" s="70">
        <v>79932</v>
      </c>
      <c r="H18" s="71">
        <v>205</v>
      </c>
      <c r="I18" s="69">
        <v>815300</v>
      </c>
      <c r="J18" s="70">
        <v>868456</v>
      </c>
      <c r="K18" s="69">
        <f>G18/F18*J18*0.93</f>
        <v>747625.45011128997</v>
      </c>
      <c r="L18" s="71">
        <v>1856</v>
      </c>
      <c r="M18" s="81">
        <f t="shared" si="0"/>
        <v>803898.33345299994</v>
      </c>
      <c r="N18" s="71">
        <f t="shared" si="1"/>
        <v>2061.7419601394308</v>
      </c>
      <c r="O18" s="81">
        <f>K18*1.01</f>
        <v>755101.70461240283</v>
      </c>
      <c r="P18" s="71">
        <f t="shared" si="2"/>
        <v>1911.68</v>
      </c>
      <c r="Q18" s="72">
        <f t="shared" si="3"/>
        <v>1.0646225912913871</v>
      </c>
      <c r="R18" s="73">
        <f t="shared" si="4"/>
        <v>1.0784974264204421</v>
      </c>
      <c r="S18" s="74">
        <f t="shared" si="5"/>
        <v>1.075268817204301</v>
      </c>
      <c r="T18" s="75">
        <f t="shared" si="6"/>
        <v>1.1108523492130553</v>
      </c>
      <c r="U18" s="76">
        <f t="shared" si="7"/>
        <v>0.86947606397146526</v>
      </c>
      <c r="V18" s="77">
        <f t="shared" si="8"/>
        <v>0.92566386029113734</v>
      </c>
      <c r="W18" s="77">
        <f t="shared" si="9"/>
        <v>0.98601537281123508</v>
      </c>
      <c r="X18" s="78">
        <f t="shared" si="10"/>
        <v>10.192524065508188</v>
      </c>
      <c r="Y18" s="79">
        <f t="shared" si="11"/>
        <v>10.057277854338688</v>
      </c>
      <c r="Z18" s="79">
        <f t="shared" si="12"/>
        <v>9.3532684045349797</v>
      </c>
      <c r="AA18" s="80">
        <f t="shared" si="13"/>
        <v>9.053658536585365</v>
      </c>
    </row>
    <row r="19" spans="2:27" ht="23.25" customHeight="1" x14ac:dyDescent="0.25">
      <c r="B19" s="67">
        <v>150</v>
      </c>
      <c r="C19" s="109" t="s">
        <v>63</v>
      </c>
      <c r="D19" s="68" t="s">
        <v>3</v>
      </c>
      <c r="E19" s="69">
        <v>303440</v>
      </c>
      <c r="F19" s="70">
        <v>295668</v>
      </c>
      <c r="G19" s="70">
        <v>245096</v>
      </c>
      <c r="H19" s="71">
        <v>3000</v>
      </c>
      <c r="I19" s="69">
        <f>E19*1.05</f>
        <v>318612</v>
      </c>
      <c r="J19" s="70">
        <f>F19*1.1</f>
        <v>325234.80000000005</v>
      </c>
      <c r="K19" s="69">
        <f>G19/F19*J19*1.08</f>
        <v>291174.04800000007</v>
      </c>
      <c r="L19" s="71">
        <v>3350</v>
      </c>
      <c r="M19" s="70">
        <f t="shared" si="0"/>
        <v>269605.60000000003</v>
      </c>
      <c r="N19" s="71">
        <f t="shared" si="1"/>
        <v>3300.0000000000005</v>
      </c>
      <c r="O19" s="70">
        <f>K19*0.95</f>
        <v>276615.34560000006</v>
      </c>
      <c r="P19" s="71">
        <f t="shared" si="2"/>
        <v>3450.5</v>
      </c>
      <c r="Q19" s="72">
        <f t="shared" si="3"/>
        <v>0.97465886939571145</v>
      </c>
      <c r="R19" s="73">
        <f t="shared" si="4"/>
        <v>0.956383132879293</v>
      </c>
      <c r="S19" s="74">
        <f t="shared" si="5"/>
        <v>0.92592592592592582</v>
      </c>
      <c r="T19" s="75">
        <f t="shared" si="6"/>
        <v>0.98507462686567182</v>
      </c>
      <c r="U19" s="76">
        <f t="shared" si="7"/>
        <v>0.85050967977596503</v>
      </c>
      <c r="V19" s="77">
        <f t="shared" si="8"/>
        <v>0.82895680290055063</v>
      </c>
      <c r="W19" s="77">
        <f t="shared" si="9"/>
        <v>0.84618783975493717</v>
      </c>
      <c r="X19" s="78">
        <f t="shared" si="10"/>
        <v>1.05</v>
      </c>
      <c r="Y19" s="79">
        <f t="shared" si="11"/>
        <v>1.1000000000000001</v>
      </c>
      <c r="Z19" s="79">
        <f t="shared" si="12"/>
        <v>1.1880000000000002</v>
      </c>
      <c r="AA19" s="80">
        <f t="shared" si="13"/>
        <v>1.1166666666666667</v>
      </c>
    </row>
    <row r="20" spans="2:27" ht="23.25" customHeight="1" x14ac:dyDescent="0.25">
      <c r="B20" s="67">
        <v>160</v>
      </c>
      <c r="C20" s="109" t="s">
        <v>62</v>
      </c>
      <c r="D20" s="68" t="s">
        <v>4</v>
      </c>
      <c r="E20" s="69">
        <v>1605</v>
      </c>
      <c r="F20" s="70">
        <v>1605</v>
      </c>
      <c r="G20" s="70">
        <v>1468</v>
      </c>
      <c r="H20" s="71">
        <v>58</v>
      </c>
      <c r="I20" s="69">
        <v>109308</v>
      </c>
      <c r="J20" s="70">
        <v>115012</v>
      </c>
      <c r="K20" s="69">
        <f t="shared" ref="K20" si="15">G20/F20*J20</f>
        <v>105194.77632398753</v>
      </c>
      <c r="L20" s="71">
        <v>2865</v>
      </c>
      <c r="M20" s="81">
        <f t="shared" si="0"/>
        <v>105194.77632398753</v>
      </c>
      <c r="N20" s="71">
        <f t="shared" si="1"/>
        <v>4156.1968847352027</v>
      </c>
      <c r="O20" s="81">
        <f>K20*0.9</f>
        <v>94675.298691588789</v>
      </c>
      <c r="P20" s="71">
        <f t="shared" si="2"/>
        <v>2950.9500000000003</v>
      </c>
      <c r="Q20" s="72">
        <f t="shared" si="3"/>
        <v>1.1111111111111109</v>
      </c>
      <c r="R20" s="73">
        <f t="shared" si="4"/>
        <v>1.408426738757079</v>
      </c>
      <c r="S20" s="74">
        <f t="shared" si="5"/>
        <v>1</v>
      </c>
      <c r="T20" s="75">
        <f t="shared" si="6"/>
        <v>1.4506795409197915</v>
      </c>
      <c r="U20" s="76">
        <f t="shared" si="7"/>
        <v>0.82317757009345793</v>
      </c>
      <c r="V20" s="77">
        <f t="shared" si="8"/>
        <v>0.91464174454828662</v>
      </c>
      <c r="W20" s="77">
        <f t="shared" si="9"/>
        <v>0.96237033267453009</v>
      </c>
      <c r="X20" s="78">
        <f t="shared" si="10"/>
        <v>68.104672897196266</v>
      </c>
      <c r="Y20" s="79">
        <f t="shared" si="11"/>
        <v>71.65856697819315</v>
      </c>
      <c r="Z20" s="79">
        <f t="shared" si="12"/>
        <v>71.65856697819315</v>
      </c>
      <c r="AA20" s="80">
        <f t="shared" si="13"/>
        <v>49.396551724137929</v>
      </c>
    </row>
    <row r="21" spans="2:27" ht="23.25" customHeight="1" x14ac:dyDescent="0.25">
      <c r="B21" s="67">
        <v>170</v>
      </c>
      <c r="C21" s="109" t="s">
        <v>64</v>
      </c>
      <c r="D21" s="68" t="s">
        <v>4</v>
      </c>
      <c r="E21" s="69">
        <v>27</v>
      </c>
      <c r="F21" s="70">
        <v>25</v>
      </c>
      <c r="G21" s="70">
        <v>18</v>
      </c>
      <c r="H21" s="71">
        <v>1</v>
      </c>
      <c r="I21" s="69">
        <v>5552</v>
      </c>
      <c r="J21" s="70">
        <v>5230</v>
      </c>
      <c r="K21" s="69">
        <f>G21/F21*J21*1.1</f>
        <v>4142.16</v>
      </c>
      <c r="L21" s="71">
        <v>230</v>
      </c>
      <c r="M21" s="81">
        <f t="shared" si="0"/>
        <v>3765.6</v>
      </c>
      <c r="N21" s="71">
        <f t="shared" si="1"/>
        <v>209.20000000000002</v>
      </c>
      <c r="O21" s="81">
        <f t="shared" si="14"/>
        <v>4349.268</v>
      </c>
      <c r="P21" s="71">
        <f t="shared" si="2"/>
        <v>236.9</v>
      </c>
      <c r="Q21" s="72">
        <f t="shared" si="3"/>
        <v>0.86580086580086579</v>
      </c>
      <c r="R21" s="73">
        <f t="shared" si="4"/>
        <v>0.8830730265934994</v>
      </c>
      <c r="S21" s="74">
        <f t="shared" si="5"/>
        <v>0.90909090909090906</v>
      </c>
      <c r="T21" s="75">
        <f t="shared" si="6"/>
        <v>0.90956521739130447</v>
      </c>
      <c r="U21" s="76">
        <f t="shared" si="7"/>
        <v>0.83160000000000001</v>
      </c>
      <c r="V21" s="77">
        <f t="shared" si="8"/>
        <v>0.72</v>
      </c>
      <c r="W21" s="77">
        <f t="shared" si="9"/>
        <v>0.67824207492795385</v>
      </c>
      <c r="X21" s="78">
        <f t="shared" si="10"/>
        <v>205.62962962962962</v>
      </c>
      <c r="Y21" s="79">
        <f t="shared" si="11"/>
        <v>209.2</v>
      </c>
      <c r="Z21" s="79">
        <f t="shared" si="12"/>
        <v>230.12</v>
      </c>
      <c r="AA21" s="80">
        <f t="shared" si="13"/>
        <v>230</v>
      </c>
    </row>
    <row r="22" spans="2:27" ht="23.25" customHeight="1" x14ac:dyDescent="0.25">
      <c r="B22" s="82"/>
      <c r="C22" s="83" t="s">
        <v>56</v>
      </c>
      <c r="D22" s="83"/>
      <c r="E22" s="84"/>
      <c r="F22" s="85"/>
      <c r="G22" s="85"/>
      <c r="H22" s="86"/>
      <c r="I22" s="84">
        <f t="shared" ref="I22:P22" si="16">SUM(I14:I21)</f>
        <v>2833543</v>
      </c>
      <c r="J22" s="85">
        <f t="shared" si="16"/>
        <v>2714076.8</v>
      </c>
      <c r="K22" s="84">
        <f t="shared" si="16"/>
        <v>2510878.2759032268</v>
      </c>
      <c r="L22" s="86">
        <f t="shared" si="16"/>
        <v>11841</v>
      </c>
      <c r="M22" s="84">
        <f t="shared" si="16"/>
        <v>2537494.8806329025</v>
      </c>
      <c r="N22" s="86">
        <f t="shared" si="16"/>
        <v>13332.33808284831</v>
      </c>
      <c r="O22" s="84">
        <f t="shared" si="16"/>
        <v>2487995.2238965435</v>
      </c>
      <c r="P22" s="86">
        <f t="shared" si="16"/>
        <v>12141.93</v>
      </c>
      <c r="Q22" s="87">
        <f t="shared" ref="Q22" si="17">M22/O22</f>
        <v>1.0198953986168975</v>
      </c>
      <c r="R22" s="88">
        <f t="shared" ref="R22" si="18">N22/P22</f>
        <v>1.0980410925485742</v>
      </c>
      <c r="S22" s="89">
        <f t="shared" si="5"/>
        <v>1.0106005157578182</v>
      </c>
      <c r="T22" s="90">
        <f t="shared" si="6"/>
        <v>1.1259469709355889</v>
      </c>
      <c r="U22" s="91">
        <f t="shared" si="7"/>
        <v>0.91670037631084855</v>
      </c>
      <c r="V22" s="92">
        <f t="shared" si="8"/>
        <v>0.93493849570981291</v>
      </c>
      <c r="W22" s="92">
        <f t="shared" si="9"/>
        <v>0.89552015996683387</v>
      </c>
      <c r="X22" s="93"/>
      <c r="Y22" s="94"/>
      <c r="Z22" s="94"/>
      <c r="AA22" s="95"/>
    </row>
    <row r="23" spans="2:27" x14ac:dyDescent="0.25">
      <c r="B23" s="96"/>
      <c r="C23" s="97"/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9"/>
    </row>
    <row r="24" spans="2:27" ht="13.5" customHeight="1" x14ac:dyDescent="0.25">
      <c r="B24" s="16"/>
      <c r="C24" s="110" t="s">
        <v>65</v>
      </c>
      <c r="D24" s="110"/>
      <c r="E24" s="110"/>
      <c r="F24" s="110"/>
      <c r="G24" s="18"/>
      <c r="H24" s="18"/>
      <c r="I24" s="18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2"/>
    </row>
    <row r="25" spans="2:27" ht="13.5" customHeight="1" x14ac:dyDescent="0.25">
      <c r="B25" s="16"/>
      <c r="C25" s="17"/>
      <c r="D25" s="17"/>
      <c r="E25" s="18"/>
      <c r="F25" s="100" t="s">
        <v>66</v>
      </c>
      <c r="G25" s="18"/>
      <c r="H25" s="18"/>
      <c r="I25" s="18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2"/>
    </row>
    <row r="26" spans="2:27" ht="13.5" customHeight="1" x14ac:dyDescent="0.25">
      <c r="B26" s="16"/>
      <c r="C26" s="17"/>
      <c r="D26" s="17"/>
      <c r="E26" s="18"/>
      <c r="F26" s="100" t="s">
        <v>67</v>
      </c>
      <c r="G26" s="18"/>
      <c r="H26" s="18"/>
      <c r="I26" s="18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2"/>
    </row>
    <row r="27" spans="2:27" ht="13.5" customHeight="1" x14ac:dyDescent="0.25">
      <c r="B27" s="16"/>
      <c r="C27" s="17"/>
      <c r="D27" s="17"/>
      <c r="E27" s="18"/>
      <c r="F27" s="100" t="s">
        <v>68</v>
      </c>
      <c r="G27" s="18"/>
      <c r="H27" s="18"/>
      <c r="I27" s="18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2"/>
    </row>
    <row r="28" spans="2:27" ht="13.5" customHeight="1" x14ac:dyDescent="0.25">
      <c r="B28" s="16"/>
      <c r="C28" s="17"/>
      <c r="D28" s="17"/>
      <c r="E28" s="18"/>
      <c r="H28" s="100" t="s">
        <v>69</v>
      </c>
      <c r="I28" s="18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2"/>
    </row>
    <row r="29" spans="2:27" x14ac:dyDescent="0.25">
      <c r="B29" s="103"/>
      <c r="C29" s="104"/>
      <c r="D29" s="104"/>
      <c r="E29" s="105"/>
      <c r="F29" s="106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7"/>
    </row>
    <row r="30" spans="2:27" x14ac:dyDescent="0.25">
      <c r="B30" s="60"/>
      <c r="C30" s="60"/>
      <c r="D30" s="60"/>
      <c r="E30" s="62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  <row r="31" spans="2:27" x14ac:dyDescent="0.25">
      <c r="F31" s="4"/>
    </row>
  </sheetData>
  <mergeCells count="15">
    <mergeCell ref="C24:F24"/>
    <mergeCell ref="B2:AA2"/>
    <mergeCell ref="M11:N11"/>
    <mergeCell ref="U11:W11"/>
    <mergeCell ref="X11:AA11"/>
    <mergeCell ref="S11:T11"/>
    <mergeCell ref="Q10:T10"/>
    <mergeCell ref="I10:P10"/>
    <mergeCell ref="B12:B13"/>
    <mergeCell ref="C12:C13"/>
    <mergeCell ref="E11:H11"/>
    <mergeCell ref="D12:D13"/>
    <mergeCell ref="Q11:R11"/>
    <mergeCell ref="K11:L11"/>
    <mergeCell ref="O11:P11"/>
  </mergeCells>
  <pageMargins left="0.7" right="0.7" top="0.75" bottom="0.75" header="0.3" footer="0.3"/>
  <pageSetup paperSize="9" scale="99" orientation="landscape" r:id="rId1"/>
  <headerFooter>
    <oddFooter>&amp;L&amp;8EPM-KPC-TP-000026-AR&amp;C&amp;8
مستوى -3هـ- خارجي
تصبح الوثائق الإلكترونية فور طباعتها غير منضبطة أو لاغية / منتهية الصلاحية، ويُرجع إلى نظام إدارة المحتوى المؤسسي الإلكتروني بشأن النسخة الحالية&amp;R&amp;8صفحة 1 من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C30"/>
  <sheetViews>
    <sheetView showGridLines="0" rightToLeft="1" view="pageLayout" topLeftCell="A2" zoomScale="110" zoomScaleNormal="130" zoomScalePageLayoutView="110" workbookViewId="0">
      <selection activeCell="U16" sqref="U16:V16"/>
    </sheetView>
  </sheetViews>
  <sheetFormatPr defaultColWidth="9.140625" defaultRowHeight="11.25" x14ac:dyDescent="0.25"/>
  <cols>
    <col min="1" max="1" width="1.5703125" style="1" customWidth="1"/>
    <col min="2" max="2" width="6.140625" style="1" customWidth="1"/>
    <col min="3" max="3" width="17.28515625" style="1" customWidth="1"/>
    <col min="4" max="4" width="3.5703125" style="1" customWidth="1"/>
    <col min="5" max="5" width="4.5703125" style="3" customWidth="1"/>
    <col min="6" max="6" width="4.7109375" style="3" customWidth="1"/>
    <col min="7" max="7" width="4.85546875" style="3" customWidth="1"/>
    <col min="8" max="8" width="4.5703125" style="3" customWidth="1"/>
    <col min="9" max="9" width="5.42578125" style="3" bestFit="1" customWidth="1"/>
    <col min="10" max="11" width="5" style="3" customWidth="1"/>
    <col min="12" max="12" width="4.28515625" style="3" customWidth="1"/>
    <col min="13" max="13" width="5.42578125" style="3" bestFit="1" customWidth="1"/>
    <col min="14" max="14" width="4.5703125" style="3" customWidth="1"/>
    <col min="15" max="15" width="5.42578125" style="3" bestFit="1" customWidth="1"/>
    <col min="16" max="16" width="4.28515625" style="3" customWidth="1"/>
    <col min="17" max="20" width="4.5703125" style="3" customWidth="1"/>
    <col min="21" max="21" width="5" style="3" customWidth="1"/>
    <col min="22" max="22" width="5.5703125" style="3" customWidth="1"/>
    <col min="23" max="23" width="5" style="3" customWidth="1"/>
    <col min="24" max="27" width="4.85546875" style="3" customWidth="1"/>
    <col min="28" max="16384" width="9.140625" style="1"/>
  </cols>
  <sheetData>
    <row r="1" spans="2:29" ht="4.5" customHeight="1" x14ac:dyDescent="0.25"/>
    <row r="2" spans="2:29" ht="17.25" customHeight="1" x14ac:dyDescent="0.2">
      <c r="B2" s="111" t="s">
        <v>17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3"/>
    </row>
    <row r="3" spans="2:29" ht="22.5" customHeigh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9"/>
    </row>
    <row r="4" spans="2:29" s="2" customFormat="1" ht="10.5" customHeight="1" x14ac:dyDescent="0.25">
      <c r="B4" s="10" t="s">
        <v>12</v>
      </c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  <c r="W4" s="11" t="s">
        <v>18</v>
      </c>
      <c r="X4" s="12"/>
      <c r="Y4" s="12"/>
      <c r="Z4" s="12"/>
      <c r="AA4" s="14"/>
    </row>
    <row r="5" spans="2:29" s="2" customFormat="1" ht="10.5" customHeight="1" x14ac:dyDescent="0.25">
      <c r="B5" s="10" t="s">
        <v>13</v>
      </c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1" t="s">
        <v>19</v>
      </c>
      <c r="X5" s="12"/>
      <c r="Y5" s="12"/>
      <c r="Z5" s="12"/>
      <c r="AA5" s="14"/>
    </row>
    <row r="6" spans="2:29" s="2" customFormat="1" ht="10.5" customHeight="1" x14ac:dyDescent="0.25">
      <c r="B6" s="10" t="s">
        <v>14</v>
      </c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4"/>
    </row>
    <row r="7" spans="2:29" s="2" customFormat="1" ht="10.5" customHeight="1" x14ac:dyDescent="0.25">
      <c r="B7" s="10" t="s">
        <v>15</v>
      </c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4"/>
    </row>
    <row r="8" spans="2:29" s="2" customFormat="1" ht="10.5" customHeight="1" x14ac:dyDescent="0.25">
      <c r="B8" s="10" t="s">
        <v>16</v>
      </c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4"/>
    </row>
    <row r="9" spans="2:29" s="2" customFormat="1" ht="6" customHeight="1" x14ac:dyDescent="0.25">
      <c r="B9" s="15"/>
      <c r="C9" s="13"/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4"/>
    </row>
    <row r="10" spans="2:29" ht="16.5" customHeight="1" x14ac:dyDescent="0.25">
      <c r="B10" s="16"/>
      <c r="C10" s="17"/>
      <c r="D10" s="17"/>
      <c r="E10" s="18"/>
      <c r="F10" s="18"/>
      <c r="G10" s="18"/>
      <c r="H10" s="18"/>
      <c r="I10" s="114" t="s">
        <v>21</v>
      </c>
      <c r="J10" s="116"/>
      <c r="K10" s="116"/>
      <c r="L10" s="116"/>
      <c r="M10" s="116"/>
      <c r="N10" s="116"/>
      <c r="O10" s="116"/>
      <c r="P10" s="115"/>
      <c r="Q10" s="114" t="s">
        <v>22</v>
      </c>
      <c r="R10" s="116"/>
      <c r="S10" s="116"/>
      <c r="T10" s="115"/>
      <c r="U10" s="18"/>
      <c r="V10" s="18"/>
      <c r="W10" s="18"/>
      <c r="X10" s="18"/>
      <c r="Y10" s="18"/>
      <c r="Z10" s="18"/>
      <c r="AA10" s="19"/>
    </row>
    <row r="11" spans="2:29" ht="14.25" customHeight="1" x14ac:dyDescent="0.25">
      <c r="B11" s="15"/>
      <c r="C11" s="13"/>
      <c r="D11" s="13"/>
      <c r="E11" s="114" t="s">
        <v>20</v>
      </c>
      <c r="F11" s="116"/>
      <c r="G11" s="116"/>
      <c r="H11" s="115"/>
      <c r="I11" s="20"/>
      <c r="J11" s="21"/>
      <c r="K11" s="114" t="s">
        <v>26</v>
      </c>
      <c r="L11" s="115"/>
      <c r="M11" s="114" t="s">
        <v>25</v>
      </c>
      <c r="N11" s="115"/>
      <c r="O11" s="114" t="s">
        <v>24</v>
      </c>
      <c r="P11" s="115"/>
      <c r="Q11" s="114" t="s">
        <v>38</v>
      </c>
      <c r="R11" s="115"/>
      <c r="S11" s="114" t="s">
        <v>39</v>
      </c>
      <c r="T11" s="115"/>
      <c r="U11" s="114" t="s">
        <v>23</v>
      </c>
      <c r="V11" s="116"/>
      <c r="W11" s="115"/>
      <c r="X11" s="114" t="s">
        <v>27</v>
      </c>
      <c r="Y11" s="116"/>
      <c r="Z11" s="116"/>
      <c r="AA11" s="115"/>
    </row>
    <row r="12" spans="2:29" ht="32.25" customHeight="1" x14ac:dyDescent="0.25">
      <c r="B12" s="117" t="s">
        <v>28</v>
      </c>
      <c r="C12" s="117" t="s">
        <v>29</v>
      </c>
      <c r="D12" s="119" t="s">
        <v>30</v>
      </c>
      <c r="E12" s="22" t="s">
        <v>31</v>
      </c>
      <c r="F12" s="23" t="s">
        <v>32</v>
      </c>
      <c r="G12" s="23" t="s">
        <v>33</v>
      </c>
      <c r="H12" s="24" t="s">
        <v>34</v>
      </c>
      <c r="I12" s="22" t="s">
        <v>31</v>
      </c>
      <c r="J12" s="23" t="s">
        <v>32</v>
      </c>
      <c r="K12" s="22" t="s">
        <v>33</v>
      </c>
      <c r="L12" s="24" t="s">
        <v>34</v>
      </c>
      <c r="M12" s="22" t="s">
        <v>33</v>
      </c>
      <c r="N12" s="24" t="s">
        <v>34</v>
      </c>
      <c r="O12" s="22" t="s">
        <v>33</v>
      </c>
      <c r="P12" s="24" t="s">
        <v>34</v>
      </c>
      <c r="Q12" s="22" t="s">
        <v>33</v>
      </c>
      <c r="R12" s="24" t="s">
        <v>34</v>
      </c>
      <c r="S12" s="22" t="s">
        <v>33</v>
      </c>
      <c r="T12" s="24" t="s">
        <v>34</v>
      </c>
      <c r="U12" s="23" t="s">
        <v>35</v>
      </c>
      <c r="V12" s="23" t="s">
        <v>36</v>
      </c>
      <c r="W12" s="23" t="s">
        <v>37</v>
      </c>
      <c r="X12" s="22" t="s">
        <v>31</v>
      </c>
      <c r="Y12" s="23" t="s">
        <v>32</v>
      </c>
      <c r="Z12" s="23" t="s">
        <v>33</v>
      </c>
      <c r="AA12" s="24" t="s">
        <v>34</v>
      </c>
    </row>
    <row r="13" spans="2:29" s="5" customFormat="1" ht="16.5" customHeight="1" x14ac:dyDescent="0.25">
      <c r="B13" s="118"/>
      <c r="C13" s="118"/>
      <c r="D13" s="120"/>
      <c r="E13" s="25" t="s">
        <v>70</v>
      </c>
      <c r="F13" s="26" t="s">
        <v>71</v>
      </c>
      <c r="G13" s="26" t="s">
        <v>72</v>
      </c>
      <c r="H13" s="27" t="s">
        <v>73</v>
      </c>
      <c r="I13" s="25" t="s">
        <v>74</v>
      </c>
      <c r="J13" s="26" t="s">
        <v>75</v>
      </c>
      <c r="K13" s="25" t="s">
        <v>76</v>
      </c>
      <c r="L13" s="27" t="s">
        <v>77</v>
      </c>
      <c r="M13" s="28" t="s">
        <v>78</v>
      </c>
      <c r="N13" s="29" t="s">
        <v>79</v>
      </c>
      <c r="O13" s="26" t="s">
        <v>80</v>
      </c>
      <c r="P13" s="27" t="s">
        <v>81</v>
      </c>
      <c r="Q13" s="30" t="s">
        <v>82</v>
      </c>
      <c r="R13" s="29" t="s">
        <v>83</v>
      </c>
      <c r="S13" s="28" t="s">
        <v>84</v>
      </c>
      <c r="T13" s="29" t="s">
        <v>85</v>
      </c>
      <c r="U13" s="28" t="s">
        <v>86</v>
      </c>
      <c r="V13" s="28" t="s">
        <v>87</v>
      </c>
      <c r="W13" s="28" t="s">
        <v>88</v>
      </c>
      <c r="X13" s="30" t="s">
        <v>89</v>
      </c>
      <c r="Y13" s="28" t="s">
        <v>90</v>
      </c>
      <c r="Z13" s="28" t="s">
        <v>91</v>
      </c>
      <c r="AA13" s="29" t="s">
        <v>92</v>
      </c>
    </row>
    <row r="14" spans="2:29" ht="20.25" customHeight="1" x14ac:dyDescent="0.25">
      <c r="B14" s="31" t="s">
        <v>6</v>
      </c>
      <c r="C14" s="64" t="s">
        <v>41</v>
      </c>
      <c r="D14" s="32" t="s">
        <v>5</v>
      </c>
      <c r="E14" s="33">
        <v>4461.09</v>
      </c>
      <c r="F14" s="34">
        <v>6458.93</v>
      </c>
      <c r="G14" s="34">
        <v>4460.8599999999997</v>
      </c>
      <c r="H14" s="35">
        <f>G14*0.03</f>
        <v>133.82579999999999</v>
      </c>
      <c r="I14" s="33">
        <v>2963.91</v>
      </c>
      <c r="J14" s="34">
        <v>3520</v>
      </c>
      <c r="K14" s="33">
        <v>4691.5</v>
      </c>
      <c r="L14" s="35">
        <v>86</v>
      </c>
      <c r="M14" s="34">
        <f>G14/F14*J14</f>
        <v>2431.0879975475809</v>
      </c>
      <c r="N14" s="35">
        <f>H14/F14*J14</f>
        <v>72.932639926427441</v>
      </c>
      <c r="O14" s="34">
        <v>2505</v>
      </c>
      <c r="P14" s="35">
        <f>(W14+0.2)*N14</f>
        <v>74.408069649707571</v>
      </c>
      <c r="Q14" s="36">
        <f>M14/O14</f>
        <v>0.97049421059783669</v>
      </c>
      <c r="R14" s="37">
        <f>N14/P14</f>
        <v>0.98017110603425084</v>
      </c>
      <c r="S14" s="38">
        <f>M14/K14</f>
        <v>0.51818991741395737</v>
      </c>
      <c r="T14" s="39">
        <f>N14/L14</f>
        <v>0.84805395263287719</v>
      </c>
      <c r="U14" s="40">
        <f>O14/J14</f>
        <v>0.71164772727272729</v>
      </c>
      <c r="V14" s="41">
        <f>M14/J14</f>
        <v>0.69064999930329007</v>
      </c>
      <c r="W14" s="41">
        <f>M14/I14</f>
        <v>0.82023003314796372</v>
      </c>
      <c r="X14" s="42">
        <f>I14/E14</f>
        <v>0.66439143796695421</v>
      </c>
      <c r="Y14" s="43">
        <f>J14/F14</f>
        <v>0.54498190876817054</v>
      </c>
      <c r="Z14" s="43">
        <f>K14/G14</f>
        <v>1.0517030348408156</v>
      </c>
      <c r="AA14" s="44">
        <f>L14/H14</f>
        <v>0.6426264591730444</v>
      </c>
      <c r="AB14" s="6"/>
      <c r="AC14" s="6"/>
    </row>
    <row r="15" spans="2:29" ht="20.25" customHeight="1" x14ac:dyDescent="0.25">
      <c r="B15" s="31" t="s">
        <v>7</v>
      </c>
      <c r="C15" s="65" t="s">
        <v>42</v>
      </c>
      <c r="D15" s="32" t="s">
        <v>5</v>
      </c>
      <c r="E15" s="33">
        <v>10177.32</v>
      </c>
      <c r="F15" s="34">
        <v>4712.62</v>
      </c>
      <c r="G15" s="34">
        <v>4200</v>
      </c>
      <c r="H15" s="35">
        <f t="shared" ref="H15:H28" si="0">G15*0.03</f>
        <v>126</v>
      </c>
      <c r="I15" s="34">
        <v>25666.07</v>
      </c>
      <c r="J15" s="34">
        <v>16081.51</v>
      </c>
      <c r="K15" s="33">
        <v>16564</v>
      </c>
      <c r="L15" s="35">
        <v>350</v>
      </c>
      <c r="M15" s="34">
        <f t="shared" ref="M15:M28" si="1">G15/F15*J15</f>
        <v>14332.227508265043</v>
      </c>
      <c r="N15" s="35">
        <f t="shared" ref="N15:N28" si="2">H15/F15*J15</f>
        <v>429.96682524795125</v>
      </c>
      <c r="O15" s="34">
        <f t="shared" ref="O15:O23" si="3">(V15+0.2)*M15</f>
        <v>15639.670487905492</v>
      </c>
      <c r="P15" s="35">
        <f t="shared" ref="P15:P28" si="4">(W15+0.2)*N15</f>
        <v>326.09176579657162</v>
      </c>
      <c r="Q15" s="36">
        <f t="shared" ref="Q15:R28" si="5">M15/O15</f>
        <v>0.91640214027197542</v>
      </c>
      <c r="R15" s="37">
        <f t="shared" si="5"/>
        <v>1.318545484267704</v>
      </c>
      <c r="S15" s="38">
        <f t="shared" ref="S15:T28" si="6">M15/K15</f>
        <v>0.8652636747322533</v>
      </c>
      <c r="T15" s="39">
        <f t="shared" si="6"/>
        <v>1.228476643565575</v>
      </c>
      <c r="U15" s="40">
        <f t="shared" ref="U15:U28" si="7">O15/J15</f>
        <v>0.97252499845508866</v>
      </c>
      <c r="V15" s="41">
        <f t="shared" ref="V15:V28" si="8">M15/J15</f>
        <v>0.89122399005224273</v>
      </c>
      <c r="W15" s="41">
        <f t="shared" ref="W15:W28" si="9">M15/I15</f>
        <v>0.55841145560130723</v>
      </c>
      <c r="X15" s="42">
        <f t="shared" ref="X15:AA28" si="10">I15/E15</f>
        <v>2.5218888666171448</v>
      </c>
      <c r="Y15" s="43">
        <f t="shared" si="10"/>
        <v>3.4124351210154864</v>
      </c>
      <c r="Z15" s="43">
        <f t="shared" si="10"/>
        <v>3.9438095238095237</v>
      </c>
      <c r="AA15" s="44">
        <f t="shared" si="10"/>
        <v>2.7777777777777777</v>
      </c>
      <c r="AB15" s="6"/>
      <c r="AC15" s="6"/>
    </row>
    <row r="16" spans="2:29" ht="20.25" customHeight="1" x14ac:dyDescent="0.25">
      <c r="B16" s="31" t="s">
        <v>6</v>
      </c>
      <c r="C16" s="65" t="s">
        <v>43</v>
      </c>
      <c r="D16" s="32" t="s">
        <v>5</v>
      </c>
      <c r="E16" s="33">
        <v>3411.03</v>
      </c>
      <c r="F16" s="34">
        <v>3820.05</v>
      </c>
      <c r="G16" s="34">
        <v>3450</v>
      </c>
      <c r="H16" s="35">
        <f t="shared" si="0"/>
        <v>103.5</v>
      </c>
      <c r="I16" s="33">
        <v>7260</v>
      </c>
      <c r="J16" s="34">
        <v>7397.45</v>
      </c>
      <c r="K16" s="33">
        <v>16210.5</v>
      </c>
      <c r="L16" s="35">
        <v>170.745</v>
      </c>
      <c r="M16" s="45">
        <f t="shared" si="1"/>
        <v>6680.8556170730744</v>
      </c>
      <c r="N16" s="35">
        <f t="shared" si="2"/>
        <v>200.42566851219223</v>
      </c>
      <c r="O16" s="45">
        <f t="shared" si="3"/>
        <v>7369.8491849326856</v>
      </c>
      <c r="P16" s="35">
        <f t="shared" si="4"/>
        <v>224.52245509159897</v>
      </c>
      <c r="Q16" s="36">
        <f t="shared" si="5"/>
        <v>0.90651184975830623</v>
      </c>
      <c r="R16" s="37">
        <f t="shared" si="5"/>
        <v>0.89267538264902757</v>
      </c>
      <c r="S16" s="38">
        <f t="shared" si="6"/>
        <v>0.4121313726950479</v>
      </c>
      <c r="T16" s="39">
        <f t="shared" si="6"/>
        <v>1.1738303816345559</v>
      </c>
      <c r="U16" s="40">
        <f t="shared" si="7"/>
        <v>0.99626887440032519</v>
      </c>
      <c r="V16" s="41">
        <f t="shared" si="8"/>
        <v>0.9031295401892645</v>
      </c>
      <c r="W16" s="41">
        <f t="shared" si="9"/>
        <v>0.92022804642879819</v>
      </c>
      <c r="X16" s="42">
        <f t="shared" si="10"/>
        <v>2.128389372125135</v>
      </c>
      <c r="Y16" s="43">
        <f t="shared" si="10"/>
        <v>1.9364798890066883</v>
      </c>
      <c r="Z16" s="43">
        <f t="shared" si="10"/>
        <v>4.6986956521739129</v>
      </c>
      <c r="AA16" s="44">
        <f t="shared" si="10"/>
        <v>1.6497101449275362</v>
      </c>
      <c r="AB16" s="6"/>
      <c r="AC16" s="6"/>
    </row>
    <row r="17" spans="2:29" ht="20.25" customHeight="1" x14ac:dyDescent="0.25">
      <c r="B17" s="31" t="s">
        <v>6</v>
      </c>
      <c r="C17" s="65" t="s">
        <v>44</v>
      </c>
      <c r="D17" s="32" t="s">
        <v>5</v>
      </c>
      <c r="E17" s="33">
        <v>3645.72</v>
      </c>
      <c r="F17" s="34">
        <v>4394.33</v>
      </c>
      <c r="G17" s="34">
        <v>3645.51</v>
      </c>
      <c r="H17" s="35">
        <f t="shared" si="0"/>
        <v>109.3653</v>
      </c>
      <c r="I17" s="33">
        <v>7659.82</v>
      </c>
      <c r="J17" s="34">
        <v>8395.35</v>
      </c>
      <c r="K17" s="33">
        <v>7215</v>
      </c>
      <c r="L17" s="35">
        <v>201</v>
      </c>
      <c r="M17" s="45">
        <f t="shared" si="1"/>
        <v>6964.7323661400042</v>
      </c>
      <c r="N17" s="35">
        <f t="shared" si="2"/>
        <v>208.94197098420014</v>
      </c>
      <c r="O17" s="45">
        <f t="shared" si="3"/>
        <v>7170.8469695692056</v>
      </c>
      <c r="P17" s="35">
        <f t="shared" si="4"/>
        <v>231.77000054773919</v>
      </c>
      <c r="Q17" s="36">
        <f t="shared" si="5"/>
        <v>0.97125658875389664</v>
      </c>
      <c r="R17" s="37">
        <f t="shared" si="5"/>
        <v>0.90150567584419961</v>
      </c>
      <c r="S17" s="38">
        <f t="shared" si="6"/>
        <v>0.96531287125987586</v>
      </c>
      <c r="T17" s="39">
        <f t="shared" si="6"/>
        <v>1.039512293453732</v>
      </c>
      <c r="U17" s="40">
        <f t="shared" si="7"/>
        <v>0.85414508859895122</v>
      </c>
      <c r="V17" s="41">
        <f t="shared" si="8"/>
        <v>0.8295940450535122</v>
      </c>
      <c r="W17" s="41">
        <f t="shared" si="9"/>
        <v>0.90925535667156732</v>
      </c>
      <c r="X17" s="42">
        <f t="shared" si="10"/>
        <v>2.1010445124694161</v>
      </c>
      <c r="Y17" s="43">
        <f t="shared" si="10"/>
        <v>1.9104960255602106</v>
      </c>
      <c r="Z17" s="43">
        <f t="shared" si="10"/>
        <v>1.9791469506324217</v>
      </c>
      <c r="AA17" s="44">
        <f t="shared" si="10"/>
        <v>1.8378772791735587</v>
      </c>
      <c r="AB17" s="6"/>
      <c r="AC17" s="6"/>
    </row>
    <row r="18" spans="2:29" ht="20.25" customHeight="1" x14ac:dyDescent="0.25">
      <c r="B18" s="31" t="s">
        <v>8</v>
      </c>
      <c r="C18" s="65" t="s">
        <v>45</v>
      </c>
      <c r="D18" s="32" t="s">
        <v>1</v>
      </c>
      <c r="E18" s="33">
        <v>678</v>
      </c>
      <c r="F18" s="34">
        <v>676</v>
      </c>
      <c r="G18" s="34">
        <v>670</v>
      </c>
      <c r="H18" s="35">
        <f t="shared" si="0"/>
        <v>20.099999999999998</v>
      </c>
      <c r="I18" s="33">
        <v>789.11</v>
      </c>
      <c r="J18" s="34">
        <v>786.68</v>
      </c>
      <c r="K18" s="33">
        <v>1779</v>
      </c>
      <c r="L18" s="35">
        <v>35</v>
      </c>
      <c r="M18" s="45">
        <f t="shared" si="1"/>
        <v>779.69763313609462</v>
      </c>
      <c r="N18" s="35">
        <f t="shared" si="2"/>
        <v>23.390928994082838</v>
      </c>
      <c r="O18" s="45">
        <v>770</v>
      </c>
      <c r="P18" s="35">
        <f t="shared" si="4"/>
        <v>27.790111859240131</v>
      </c>
      <c r="Q18" s="36">
        <f t="shared" si="5"/>
        <v>1.0125943287481749</v>
      </c>
      <c r="R18" s="37">
        <f t="shared" si="5"/>
        <v>0.84169970644812009</v>
      </c>
      <c r="S18" s="38">
        <f t="shared" si="6"/>
        <v>0.43827860210010938</v>
      </c>
      <c r="T18" s="39">
        <f t="shared" si="6"/>
        <v>0.66831225697379537</v>
      </c>
      <c r="U18" s="40">
        <f t="shared" si="7"/>
        <v>0.97879696954288919</v>
      </c>
      <c r="V18" s="41">
        <f t="shared" si="8"/>
        <v>0.99112426035502954</v>
      </c>
      <c r="W18" s="41">
        <f t="shared" si="9"/>
        <v>0.98807217388715718</v>
      </c>
      <c r="X18" s="42">
        <f t="shared" si="10"/>
        <v>1.1638790560471977</v>
      </c>
      <c r="Y18" s="43">
        <f t="shared" si="10"/>
        <v>1.1637278106508875</v>
      </c>
      <c r="Z18" s="43">
        <f t="shared" si="10"/>
        <v>2.6552238805970148</v>
      </c>
      <c r="AA18" s="44">
        <f t="shared" si="10"/>
        <v>1.7412935323383087</v>
      </c>
      <c r="AB18" s="6"/>
      <c r="AC18" s="6"/>
    </row>
    <row r="19" spans="2:29" ht="20.25" customHeight="1" x14ac:dyDescent="0.25">
      <c r="B19" s="31" t="s">
        <v>9</v>
      </c>
      <c r="C19" s="65" t="s">
        <v>46</v>
      </c>
      <c r="D19" s="32" t="s">
        <v>3</v>
      </c>
      <c r="E19" s="33">
        <v>176.9</v>
      </c>
      <c r="F19" s="34">
        <v>231</v>
      </c>
      <c r="G19" s="34">
        <v>97</v>
      </c>
      <c r="H19" s="35">
        <f t="shared" si="0"/>
        <v>2.9099999999999997</v>
      </c>
      <c r="I19" s="33">
        <v>2782.33</v>
      </c>
      <c r="J19" s="34">
        <v>2860</v>
      </c>
      <c r="K19" s="33">
        <v>2018</v>
      </c>
      <c r="L19" s="35">
        <v>30</v>
      </c>
      <c r="M19" s="34">
        <f t="shared" si="1"/>
        <v>1200.952380952381</v>
      </c>
      <c r="N19" s="35">
        <f t="shared" si="2"/>
        <v>36.028571428571425</v>
      </c>
      <c r="O19" s="34">
        <v>1050</v>
      </c>
      <c r="P19" s="35">
        <f t="shared" si="4"/>
        <v>22.756924472663993</v>
      </c>
      <c r="Q19" s="36">
        <f t="shared" si="5"/>
        <v>1.1437641723356009</v>
      </c>
      <c r="R19" s="37">
        <f t="shared" si="5"/>
        <v>1.5831915895247428</v>
      </c>
      <c r="S19" s="38">
        <f t="shared" si="6"/>
        <v>0.59512010949077354</v>
      </c>
      <c r="T19" s="39">
        <f t="shared" si="6"/>
        <v>1.2009523809523808</v>
      </c>
      <c r="U19" s="40">
        <f t="shared" si="7"/>
        <v>0.36713286713286714</v>
      </c>
      <c r="V19" s="41">
        <f t="shared" si="8"/>
        <v>0.41991341991341991</v>
      </c>
      <c r="W19" s="41">
        <f t="shared" si="9"/>
        <v>0.43163549289709741</v>
      </c>
      <c r="X19" s="42">
        <f t="shared" si="10"/>
        <v>15.728264556246465</v>
      </c>
      <c r="Y19" s="43">
        <f t="shared" si="10"/>
        <v>12.380952380952381</v>
      </c>
      <c r="Z19" s="43">
        <f t="shared" si="10"/>
        <v>20.804123711340207</v>
      </c>
      <c r="AA19" s="44">
        <f t="shared" si="10"/>
        <v>10.309278350515465</v>
      </c>
      <c r="AB19" s="6"/>
      <c r="AC19" s="6"/>
    </row>
    <row r="20" spans="2:29" ht="20.25" customHeight="1" x14ac:dyDescent="0.25">
      <c r="B20" s="31" t="s">
        <v>9</v>
      </c>
      <c r="C20" s="65" t="s">
        <v>47</v>
      </c>
      <c r="D20" s="32" t="s">
        <v>4</v>
      </c>
      <c r="E20" s="33">
        <v>6</v>
      </c>
      <c r="F20" s="34">
        <v>8</v>
      </c>
      <c r="G20" s="34">
        <v>2</v>
      </c>
      <c r="H20" s="35">
        <f t="shared" si="0"/>
        <v>0.06</v>
      </c>
      <c r="I20" s="33">
        <v>107.4</v>
      </c>
      <c r="J20" s="34">
        <v>244</v>
      </c>
      <c r="K20" s="33">
        <v>80</v>
      </c>
      <c r="L20" s="35">
        <v>3</v>
      </c>
      <c r="M20" s="45">
        <f t="shared" si="1"/>
        <v>61</v>
      </c>
      <c r="N20" s="35">
        <f t="shared" si="2"/>
        <v>1.8299999999999998</v>
      </c>
      <c r="O20" s="45">
        <v>55</v>
      </c>
      <c r="P20" s="35">
        <f t="shared" si="4"/>
        <v>1.4053854748603349</v>
      </c>
      <c r="Q20" s="36">
        <f t="shared" si="5"/>
        <v>1.1090909090909091</v>
      </c>
      <c r="R20" s="37">
        <f t="shared" si="5"/>
        <v>1.3021338506304561</v>
      </c>
      <c r="S20" s="38">
        <f t="shared" si="6"/>
        <v>0.76249999999999996</v>
      </c>
      <c r="T20" s="39">
        <f t="shared" si="6"/>
        <v>0.61</v>
      </c>
      <c r="U20" s="40">
        <f t="shared" si="7"/>
        <v>0.22540983606557377</v>
      </c>
      <c r="V20" s="41">
        <f t="shared" si="8"/>
        <v>0.25</v>
      </c>
      <c r="W20" s="41">
        <f t="shared" si="9"/>
        <v>0.56797020484171323</v>
      </c>
      <c r="X20" s="42">
        <f t="shared" si="10"/>
        <v>17.900000000000002</v>
      </c>
      <c r="Y20" s="43">
        <f t="shared" si="10"/>
        <v>30.5</v>
      </c>
      <c r="Z20" s="43">
        <f t="shared" si="10"/>
        <v>40</v>
      </c>
      <c r="AA20" s="44">
        <f t="shared" si="10"/>
        <v>50</v>
      </c>
      <c r="AB20" s="6"/>
      <c r="AC20" s="6"/>
    </row>
    <row r="21" spans="2:29" ht="20.25" customHeight="1" x14ac:dyDescent="0.25">
      <c r="B21" s="31" t="s">
        <v>10</v>
      </c>
      <c r="C21" s="65" t="s">
        <v>48</v>
      </c>
      <c r="D21" s="32" t="s">
        <v>4</v>
      </c>
      <c r="E21" s="33">
        <v>110</v>
      </c>
      <c r="F21" s="34">
        <v>100</v>
      </c>
      <c r="G21" s="34">
        <v>90</v>
      </c>
      <c r="H21" s="35">
        <f t="shared" si="0"/>
        <v>2.6999999999999997</v>
      </c>
      <c r="I21" s="34">
        <v>480</v>
      </c>
      <c r="J21" s="34">
        <v>450</v>
      </c>
      <c r="K21" s="33">
        <v>350</v>
      </c>
      <c r="L21" s="35">
        <v>15</v>
      </c>
      <c r="M21" s="34">
        <f t="shared" ref="M21:M27" si="11">G21/F21*J21</f>
        <v>405</v>
      </c>
      <c r="N21" s="35">
        <f t="shared" ref="N21:N27" si="12">H21/F21*J21</f>
        <v>12.149999999999999</v>
      </c>
      <c r="O21" s="34">
        <f t="shared" si="3"/>
        <v>445.50000000000006</v>
      </c>
      <c r="P21" s="35">
        <f t="shared" si="4"/>
        <v>12.681562499999998</v>
      </c>
      <c r="Q21" s="36">
        <f t="shared" ref="Q21:Q27" si="13">M21/O21</f>
        <v>0.90909090909090895</v>
      </c>
      <c r="R21" s="37">
        <f t="shared" ref="R21:R27" si="14">N21/P21</f>
        <v>0.95808383233532934</v>
      </c>
      <c r="S21" s="38">
        <f t="shared" ref="S21:S27" si="15">M21/K21</f>
        <v>1.1571428571428573</v>
      </c>
      <c r="T21" s="39">
        <f t="shared" ref="T21:T27" si="16">N21/L21</f>
        <v>0.80999999999999994</v>
      </c>
      <c r="U21" s="40">
        <f t="shared" ref="U21:U27" si="17">O21/J21</f>
        <v>0.9900000000000001</v>
      </c>
      <c r="V21" s="41">
        <f t="shared" ref="V21:V27" si="18">M21/J21</f>
        <v>0.9</v>
      </c>
      <c r="W21" s="41">
        <f>M21/I21</f>
        <v>0.84375</v>
      </c>
      <c r="X21" s="42">
        <f t="shared" ref="X21:X27" si="19">I21/E21</f>
        <v>4.3636363636363633</v>
      </c>
      <c r="Y21" s="43">
        <f t="shared" ref="Y21:Y27" si="20">J21/F21</f>
        <v>4.5</v>
      </c>
      <c r="Z21" s="43">
        <f t="shared" ref="Z21:Z27" si="21">K21/G21</f>
        <v>3.8888888888888888</v>
      </c>
      <c r="AA21" s="44">
        <f t="shared" ref="AA21:AA27" si="22">L21/H21</f>
        <v>5.5555555555555562</v>
      </c>
      <c r="AB21" s="6"/>
      <c r="AC21" s="6"/>
    </row>
    <row r="22" spans="2:29" ht="20.25" customHeight="1" x14ac:dyDescent="0.25">
      <c r="B22" s="31" t="s">
        <v>11</v>
      </c>
      <c r="C22" s="65" t="s">
        <v>50</v>
      </c>
      <c r="D22" s="32" t="s">
        <v>4</v>
      </c>
      <c r="E22" s="33">
        <v>4</v>
      </c>
      <c r="F22" s="34">
        <v>4</v>
      </c>
      <c r="G22" s="34">
        <v>4</v>
      </c>
      <c r="H22" s="35">
        <f t="shared" si="0"/>
        <v>0.12</v>
      </c>
      <c r="I22" s="33">
        <v>68.12</v>
      </c>
      <c r="J22" s="34">
        <v>68</v>
      </c>
      <c r="K22" s="33">
        <v>115</v>
      </c>
      <c r="L22" s="35">
        <v>4</v>
      </c>
      <c r="M22" s="45">
        <f t="shared" si="11"/>
        <v>68</v>
      </c>
      <c r="N22" s="35">
        <f t="shared" si="12"/>
        <v>2.04</v>
      </c>
      <c r="O22" s="45">
        <v>65</v>
      </c>
      <c r="P22" s="35">
        <f t="shared" si="4"/>
        <v>2.4444063417498532</v>
      </c>
      <c r="Q22" s="36">
        <f t="shared" si="13"/>
        <v>1.0461538461538462</v>
      </c>
      <c r="R22" s="37">
        <f t="shared" si="14"/>
        <v>0.83455846319709892</v>
      </c>
      <c r="S22" s="38">
        <f t="shared" si="15"/>
        <v>0.59130434782608698</v>
      </c>
      <c r="T22" s="39">
        <f t="shared" si="16"/>
        <v>0.51</v>
      </c>
      <c r="U22" s="40">
        <f t="shared" si="17"/>
        <v>0.95588235294117652</v>
      </c>
      <c r="V22" s="41">
        <f t="shared" si="18"/>
        <v>1</v>
      </c>
      <c r="W22" s="41">
        <f t="shared" ref="W22:W27" si="23">M22/I22</f>
        <v>0.99823840281855547</v>
      </c>
      <c r="X22" s="42">
        <f t="shared" si="19"/>
        <v>17.03</v>
      </c>
      <c r="Y22" s="43">
        <f t="shared" si="20"/>
        <v>17</v>
      </c>
      <c r="Z22" s="43">
        <f t="shared" si="21"/>
        <v>28.75</v>
      </c>
      <c r="AA22" s="44">
        <f t="shared" si="22"/>
        <v>33.333333333333336</v>
      </c>
      <c r="AB22" s="6"/>
      <c r="AC22" s="6"/>
    </row>
    <row r="23" spans="2:29" ht="20.25" customHeight="1" x14ac:dyDescent="0.25">
      <c r="B23" s="31" t="s">
        <v>6</v>
      </c>
      <c r="C23" s="64" t="s">
        <v>41</v>
      </c>
      <c r="D23" s="32" t="s">
        <v>5</v>
      </c>
      <c r="E23" s="33">
        <v>4462.67</v>
      </c>
      <c r="F23" s="34">
        <v>6451.42</v>
      </c>
      <c r="G23" s="34">
        <v>4462.67</v>
      </c>
      <c r="H23" s="35">
        <f t="shared" si="0"/>
        <v>133.8801</v>
      </c>
      <c r="I23" s="33">
        <v>4950</v>
      </c>
      <c r="J23" s="34">
        <v>5200</v>
      </c>
      <c r="K23" s="33">
        <v>6293.5</v>
      </c>
      <c r="L23" s="35">
        <v>95</v>
      </c>
      <c r="M23" s="45">
        <f t="shared" si="11"/>
        <v>3597.0195708851697</v>
      </c>
      <c r="N23" s="35">
        <f t="shared" si="12"/>
        <v>107.91058712655507</v>
      </c>
      <c r="O23" s="45">
        <f t="shared" si="3"/>
        <v>3207.5865667406742</v>
      </c>
      <c r="P23" s="35">
        <f t="shared" si="4"/>
        <v>99.997570718225731</v>
      </c>
      <c r="Q23" s="36">
        <f t="shared" si="13"/>
        <v>1.1214099747712218</v>
      </c>
      <c r="R23" s="37">
        <f t="shared" si="14"/>
        <v>1.0791320864246465</v>
      </c>
      <c r="S23" s="38">
        <f t="shared" si="15"/>
        <v>0.57154517691033124</v>
      </c>
      <c r="T23" s="39">
        <f t="shared" si="16"/>
        <v>1.1359009171216323</v>
      </c>
      <c r="U23" s="40">
        <f t="shared" si="17"/>
        <v>0.61684357052705274</v>
      </c>
      <c r="V23" s="41">
        <f t="shared" si="18"/>
        <v>0.69173453286253261</v>
      </c>
      <c r="W23" s="41">
        <f t="shared" si="23"/>
        <v>0.7266706203808424</v>
      </c>
      <c r="X23" s="42">
        <f t="shared" si="19"/>
        <v>1.109201442185956</v>
      </c>
      <c r="Y23" s="43">
        <f t="shared" si="20"/>
        <v>0.80602410012059356</v>
      </c>
      <c r="Z23" s="43">
        <f t="shared" si="21"/>
        <v>1.4102543992721845</v>
      </c>
      <c r="AA23" s="44">
        <f t="shared" si="22"/>
        <v>0.70959014819976984</v>
      </c>
      <c r="AB23" s="6"/>
      <c r="AC23" s="6"/>
    </row>
    <row r="24" spans="2:29" ht="20.25" customHeight="1" x14ac:dyDescent="0.25">
      <c r="B24" s="31" t="s">
        <v>7</v>
      </c>
      <c r="C24" s="65" t="s">
        <v>42</v>
      </c>
      <c r="D24" s="32" t="s">
        <v>5</v>
      </c>
      <c r="E24" s="33">
        <v>1899</v>
      </c>
      <c r="F24" s="34">
        <v>5433.75</v>
      </c>
      <c r="G24" s="34">
        <v>1899</v>
      </c>
      <c r="H24" s="35">
        <f t="shared" si="0"/>
        <v>56.97</v>
      </c>
      <c r="I24" s="33">
        <v>4034.49</v>
      </c>
      <c r="J24" s="34">
        <v>10911</v>
      </c>
      <c r="K24" s="33">
        <v>4671.5</v>
      </c>
      <c r="L24" s="35">
        <v>125</v>
      </c>
      <c r="M24" s="45">
        <f t="shared" si="11"/>
        <v>3813.2024844720499</v>
      </c>
      <c r="N24" s="35">
        <f t="shared" si="12"/>
        <v>114.39607453416149</v>
      </c>
      <c r="O24" s="45">
        <v>2895</v>
      </c>
      <c r="P24" s="35">
        <f t="shared" si="4"/>
        <v>131.00078557066203</v>
      </c>
      <c r="Q24" s="36">
        <f t="shared" si="13"/>
        <v>1.31716838841867</v>
      </c>
      <c r="R24" s="37">
        <f t="shared" si="14"/>
        <v>0.87324724073853788</v>
      </c>
      <c r="S24" s="38">
        <f t="shared" si="15"/>
        <v>0.81626939622649042</v>
      </c>
      <c r="T24" s="39">
        <f t="shared" si="16"/>
        <v>0.91516859627329183</v>
      </c>
      <c r="U24" s="40">
        <f t="shared" si="17"/>
        <v>0.2653285675006874</v>
      </c>
      <c r="V24" s="41">
        <f t="shared" si="18"/>
        <v>0.34948240165631472</v>
      </c>
      <c r="W24" s="41">
        <f t="shared" si="23"/>
        <v>0.94515105613647576</v>
      </c>
      <c r="X24" s="42">
        <f t="shared" si="19"/>
        <v>2.1245339652448658</v>
      </c>
      <c r="Y24" s="43">
        <f t="shared" si="20"/>
        <v>2.0080055210489993</v>
      </c>
      <c r="Z24" s="43">
        <f t="shared" si="21"/>
        <v>2.4599789362822539</v>
      </c>
      <c r="AA24" s="44">
        <f t="shared" si="22"/>
        <v>2.1941372652273126</v>
      </c>
      <c r="AB24" s="6"/>
      <c r="AC24" s="6"/>
    </row>
    <row r="25" spans="2:29" ht="20.25" customHeight="1" x14ac:dyDescent="0.25">
      <c r="B25" s="31" t="s">
        <v>6</v>
      </c>
      <c r="C25" s="65" t="s">
        <v>43</v>
      </c>
      <c r="D25" s="32" t="s">
        <v>5</v>
      </c>
      <c r="E25" s="33">
        <v>5099.1400000000003</v>
      </c>
      <c r="F25" s="34">
        <v>4890</v>
      </c>
      <c r="G25" s="34">
        <v>4560</v>
      </c>
      <c r="H25" s="35">
        <f t="shared" si="0"/>
        <v>136.79999999999998</v>
      </c>
      <c r="I25" s="33">
        <v>5926.81</v>
      </c>
      <c r="J25" s="34">
        <v>5367.57</v>
      </c>
      <c r="K25" s="33">
        <v>6223</v>
      </c>
      <c r="L25" s="35">
        <v>158</v>
      </c>
      <c r="M25" s="34">
        <f t="shared" ref="M25" si="24">G25/F25*J25</f>
        <v>5005.3413496932508</v>
      </c>
      <c r="N25" s="35">
        <f t="shared" ref="N25" si="25">H25/F25*J25</f>
        <v>150.16024049079752</v>
      </c>
      <c r="O25" s="34">
        <v>5105</v>
      </c>
      <c r="P25" s="35">
        <f t="shared" si="4"/>
        <v>156.84617927639394</v>
      </c>
      <c r="Q25" s="36">
        <f t="shared" ref="Q25" si="26">M25/O25</f>
        <v>0.98047822716811961</v>
      </c>
      <c r="R25" s="37">
        <f t="shared" ref="R25" si="27">N25/P25</f>
        <v>0.95737263848923937</v>
      </c>
      <c r="S25" s="38">
        <f t="shared" ref="S25" si="28">M25/K25</f>
        <v>0.80432931860730372</v>
      </c>
      <c r="T25" s="39">
        <f t="shared" ref="T25" si="29">N25/L25</f>
        <v>0.95038126892909824</v>
      </c>
      <c r="U25" s="40">
        <f t="shared" ref="U25" si="30">O25/J25</f>
        <v>0.95108214704233018</v>
      </c>
      <c r="V25" s="41">
        <f t="shared" ref="V25" si="31">M25/J25</f>
        <v>0.93251533742331283</v>
      </c>
      <c r="W25" s="41">
        <f t="shared" ref="W25" si="32">M25/I25</f>
        <v>0.84452536013357105</v>
      </c>
      <c r="X25" s="42">
        <f t="shared" ref="X25" si="33">I25/E25</f>
        <v>1.1623156061610389</v>
      </c>
      <c r="Y25" s="43">
        <f t="shared" ref="Y25" si="34">J25/F25</f>
        <v>1.0976625766871164</v>
      </c>
      <c r="Z25" s="43">
        <f t="shared" ref="Z25" si="35">K25/G25</f>
        <v>1.3646929824561405</v>
      </c>
      <c r="AA25" s="44">
        <f t="shared" ref="AA25" si="36">L25/H25</f>
        <v>1.1549707602339183</v>
      </c>
      <c r="AB25" s="6"/>
      <c r="AC25" s="6"/>
    </row>
    <row r="26" spans="2:29" ht="20.25" customHeight="1" x14ac:dyDescent="0.25">
      <c r="B26" s="31" t="s">
        <v>6</v>
      </c>
      <c r="C26" s="65" t="s">
        <v>44</v>
      </c>
      <c r="D26" s="32" t="s">
        <v>5</v>
      </c>
      <c r="E26" s="33">
        <v>3560</v>
      </c>
      <c r="F26" s="34">
        <v>3498.66</v>
      </c>
      <c r="G26" s="34">
        <v>3332.4</v>
      </c>
      <c r="H26" s="35">
        <f t="shared" si="0"/>
        <v>99.971999999999994</v>
      </c>
      <c r="I26" s="33">
        <v>11600</v>
      </c>
      <c r="J26" s="34">
        <v>11461.62</v>
      </c>
      <c r="K26" s="33">
        <v>7841.5</v>
      </c>
      <c r="L26" s="35">
        <v>359</v>
      </c>
      <c r="M26" s="34">
        <f t="shared" si="11"/>
        <v>10916.95177239286</v>
      </c>
      <c r="N26" s="35">
        <f t="shared" si="12"/>
        <v>327.50855317178576</v>
      </c>
      <c r="O26" s="34">
        <v>11082</v>
      </c>
      <c r="P26" s="35">
        <f t="shared" si="4"/>
        <v>373.72542442940437</v>
      </c>
      <c r="Q26" s="36">
        <f t="shared" si="13"/>
        <v>0.98510663890929984</v>
      </c>
      <c r="R26" s="37">
        <f t="shared" si="14"/>
        <v>0.87633468788434321</v>
      </c>
      <c r="S26" s="38">
        <f t="shared" si="15"/>
        <v>1.392201973141983</v>
      </c>
      <c r="T26" s="39">
        <f t="shared" si="16"/>
        <v>0.91228009240051744</v>
      </c>
      <c r="U26" s="40">
        <f t="shared" si="17"/>
        <v>0.9668790275720186</v>
      </c>
      <c r="V26" s="41">
        <f t="shared" si="18"/>
        <v>0.95247894908336339</v>
      </c>
      <c r="W26" s="41">
        <f t="shared" si="23"/>
        <v>0.94111653210283275</v>
      </c>
      <c r="X26" s="42">
        <f t="shared" si="19"/>
        <v>3.2584269662921348</v>
      </c>
      <c r="Y26" s="43">
        <f t="shared" si="20"/>
        <v>3.2760028125053595</v>
      </c>
      <c r="Z26" s="43">
        <f t="shared" si="21"/>
        <v>2.3531088704837355</v>
      </c>
      <c r="AA26" s="44">
        <f t="shared" si="22"/>
        <v>3.5910054815348298</v>
      </c>
      <c r="AB26" s="6"/>
      <c r="AC26" s="6"/>
    </row>
    <row r="27" spans="2:29" ht="20.25" customHeight="1" x14ac:dyDescent="0.25">
      <c r="B27" s="31" t="s">
        <v>8</v>
      </c>
      <c r="C27" s="65" t="s">
        <v>45</v>
      </c>
      <c r="D27" s="32" t="s">
        <v>1</v>
      </c>
      <c r="E27" s="33">
        <v>647.55999999999995</v>
      </c>
      <c r="F27" s="34">
        <v>648</v>
      </c>
      <c r="G27" s="34">
        <v>647.55999999999995</v>
      </c>
      <c r="H27" s="35">
        <f t="shared" si="0"/>
        <v>19.426799999999997</v>
      </c>
      <c r="I27" s="33">
        <v>751.17</v>
      </c>
      <c r="J27" s="34">
        <v>751</v>
      </c>
      <c r="K27" s="33">
        <v>724.5</v>
      </c>
      <c r="L27" s="35">
        <v>35</v>
      </c>
      <c r="M27" s="45">
        <f t="shared" si="11"/>
        <v>750.49006172839495</v>
      </c>
      <c r="N27" s="35">
        <f t="shared" si="12"/>
        <v>22.514701851851846</v>
      </c>
      <c r="O27" s="45">
        <v>735</v>
      </c>
      <c r="P27" s="35">
        <f t="shared" si="4"/>
        <v>26.997262537912604</v>
      </c>
      <c r="Q27" s="36">
        <f t="shared" si="13"/>
        <v>1.0210749139161837</v>
      </c>
      <c r="R27" s="37">
        <f t="shared" si="14"/>
        <v>0.83396239971494002</v>
      </c>
      <c r="S27" s="38">
        <f t="shared" si="15"/>
        <v>1.0358731010743891</v>
      </c>
      <c r="T27" s="39">
        <f t="shared" si="16"/>
        <v>0.64327719576719566</v>
      </c>
      <c r="U27" s="40">
        <f t="shared" si="17"/>
        <v>0.97869507323568572</v>
      </c>
      <c r="V27" s="41">
        <f t="shared" si="18"/>
        <v>0.99932098765432087</v>
      </c>
      <c r="W27" s="41">
        <f t="shared" si="23"/>
        <v>0.9990948277066376</v>
      </c>
      <c r="X27" s="42">
        <f t="shared" si="19"/>
        <v>1.1600006177033788</v>
      </c>
      <c r="Y27" s="43">
        <f t="shared" si="20"/>
        <v>1.1589506172839505</v>
      </c>
      <c r="Z27" s="43">
        <f t="shared" si="21"/>
        <v>1.1188152449193898</v>
      </c>
      <c r="AA27" s="44">
        <f t="shared" si="22"/>
        <v>1.8016348549426568</v>
      </c>
      <c r="AB27" s="6"/>
      <c r="AC27" s="6"/>
    </row>
    <row r="28" spans="2:29" ht="20.25" customHeight="1" x14ac:dyDescent="0.25">
      <c r="B28" s="46" t="s">
        <v>9</v>
      </c>
      <c r="C28" s="66" t="s">
        <v>49</v>
      </c>
      <c r="D28" s="46" t="s">
        <v>3</v>
      </c>
      <c r="E28" s="47">
        <v>44</v>
      </c>
      <c r="F28" s="48">
        <v>44</v>
      </c>
      <c r="G28" s="48">
        <v>43</v>
      </c>
      <c r="H28" s="49">
        <f t="shared" si="0"/>
        <v>1.29</v>
      </c>
      <c r="I28" s="47">
        <v>393.8</v>
      </c>
      <c r="J28" s="48">
        <v>394</v>
      </c>
      <c r="K28" s="47">
        <v>453</v>
      </c>
      <c r="L28" s="49">
        <v>15</v>
      </c>
      <c r="M28" s="50">
        <f t="shared" si="1"/>
        <v>385.04545454545456</v>
      </c>
      <c r="N28" s="49">
        <f t="shared" si="2"/>
        <v>11.551363636363638</v>
      </c>
      <c r="O28" s="50">
        <v>370</v>
      </c>
      <c r="P28" s="49">
        <f t="shared" si="4"/>
        <v>13.604838654097186</v>
      </c>
      <c r="Q28" s="51">
        <f t="shared" si="5"/>
        <v>1.0406633906633906</v>
      </c>
      <c r="R28" s="52">
        <f t="shared" si="5"/>
        <v>0.84906289078884956</v>
      </c>
      <c r="S28" s="53">
        <f t="shared" si="6"/>
        <v>0.84998996588400566</v>
      </c>
      <c r="T28" s="54">
        <f t="shared" si="6"/>
        <v>0.77009090909090916</v>
      </c>
      <c r="U28" s="55">
        <f t="shared" si="7"/>
        <v>0.93908629441624369</v>
      </c>
      <c r="V28" s="56">
        <f t="shared" si="8"/>
        <v>0.97727272727272729</v>
      </c>
      <c r="W28" s="56">
        <f t="shared" si="9"/>
        <v>0.97776905674315528</v>
      </c>
      <c r="X28" s="57">
        <f t="shared" si="10"/>
        <v>8.9500000000000011</v>
      </c>
      <c r="Y28" s="58">
        <f t="shared" si="10"/>
        <v>8.954545454545455</v>
      </c>
      <c r="Z28" s="58">
        <f t="shared" si="10"/>
        <v>10.534883720930232</v>
      </c>
      <c r="AA28" s="59">
        <f t="shared" si="10"/>
        <v>11.627906976744185</v>
      </c>
      <c r="AB28" s="6"/>
      <c r="AC28" s="6"/>
    </row>
    <row r="29" spans="2:29" ht="12.75" customHeight="1" x14ac:dyDescent="0.25">
      <c r="B29" s="60"/>
      <c r="C29" s="60"/>
      <c r="D29" s="60"/>
      <c r="E29" s="63" t="s">
        <v>40</v>
      </c>
      <c r="F29" s="61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2:29" x14ac:dyDescent="0.25">
      <c r="B30" s="60"/>
      <c r="C30" s="60"/>
      <c r="D30" s="60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</row>
  </sheetData>
  <mergeCells count="14">
    <mergeCell ref="X11:AA11"/>
    <mergeCell ref="B12:B13"/>
    <mergeCell ref="C12:C13"/>
    <mergeCell ref="D12:D13"/>
    <mergeCell ref="B2:AA2"/>
    <mergeCell ref="I10:P10"/>
    <mergeCell ref="Q10:T10"/>
    <mergeCell ref="E11:H11"/>
    <mergeCell ref="K11:L11"/>
    <mergeCell ref="M11:N11"/>
    <mergeCell ref="O11:P11"/>
    <mergeCell ref="Q11:R11"/>
    <mergeCell ref="S11:T11"/>
    <mergeCell ref="U11:W11"/>
  </mergeCells>
  <conditionalFormatting sqref="U14:W28">
    <cfRule type="cellIs" dxfId="0" priority="1" operator="greaterThan">
      <formula>1</formula>
    </cfRule>
  </conditionalFormatting>
  <pageMargins left="0.7" right="0.31818181818181818" top="0.75" bottom="0.75" header="0.3" footer="0.3"/>
  <pageSetup paperSize="9" scale="97" orientation="landscape" r:id="rId1"/>
  <headerFooter>
    <oddFooter>&amp;L&amp;8EPM-KPC-TP-000026_000&amp;C&amp;8
مستوى -3هـ- خارجي
تصبح الوثائق الإلكترونية فور طباعتها غير منضبطة أو لاغية / منتهية الصلاحية، ويُرجع إلى نظام إدارة المحتوى المؤسسي الإلكتروني بشأن النسخة الحالية&amp;R&amp;8صفحة 1 من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Quantity Tracker Summar</vt:lpstr>
      <vt:lpstr>Quantity Tracker Details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Julin Borra</dc:creator>
  <cp:lastModifiedBy>حامد الغامدي Hamed Alghamdi</cp:lastModifiedBy>
  <cp:lastPrinted>2022-04-21T12:03:46Z</cp:lastPrinted>
  <dcterms:created xsi:type="dcterms:W3CDTF">2017-08-27T07:30:53Z</dcterms:created>
  <dcterms:modified xsi:type="dcterms:W3CDTF">2022-04-21T12:04:13Z</dcterms:modified>
</cp:coreProperties>
</file>